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 firstSheet="1" activeTab="1"/>
  </bookViews>
  <sheets>
    <sheet name="扉-2 投标报价扉页" sheetId="5" r:id="rId1"/>
    <sheet name="体检中心电测听室改造工程" sheetId="3" r:id="rId2"/>
    <sheet name="对比表" sheetId="6" state="hidden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6" i="3" s="1"/>
  <c r="E30" i="3" l="1"/>
  <c r="E35" i="3"/>
  <c r="K60" i="6"/>
  <c r="E24" i="3"/>
  <c r="E19" i="3"/>
  <c r="Q6" i="6" l="1"/>
  <c r="J56" i="6"/>
  <c r="J57" i="6"/>
  <c r="J54" i="6"/>
  <c r="J55" i="6"/>
  <c r="J49" i="6"/>
  <c r="J53" i="6"/>
  <c r="J52" i="6"/>
  <c r="J51" i="6"/>
  <c r="J50" i="6"/>
  <c r="H51" i="6"/>
  <c r="H50" i="6"/>
  <c r="J48" i="6"/>
  <c r="J47" i="6"/>
  <c r="J46" i="6"/>
  <c r="J45" i="6"/>
  <c r="J44" i="6"/>
  <c r="J43" i="6"/>
  <c r="J30" i="6" s="1"/>
  <c r="J42" i="6"/>
  <c r="J41" i="6"/>
  <c r="J40" i="6"/>
  <c r="J39" i="6"/>
  <c r="J38" i="6"/>
  <c r="J37" i="6"/>
  <c r="J36" i="6"/>
  <c r="J35" i="6"/>
  <c r="J34" i="6"/>
  <c r="J33" i="6"/>
  <c r="J32" i="6"/>
  <c r="J31" i="6"/>
  <c r="H45" i="6"/>
  <c r="H41" i="6"/>
  <c r="H37" i="6"/>
  <c r="H36" i="6"/>
  <c r="H35" i="6"/>
  <c r="I33" i="6"/>
  <c r="H31" i="6"/>
  <c r="J29" i="6"/>
  <c r="J28" i="6"/>
  <c r="J26" i="6" s="1"/>
  <c r="J27" i="6"/>
  <c r="H29" i="6"/>
  <c r="H27" i="6"/>
  <c r="J24" i="6"/>
  <c r="J25" i="6"/>
  <c r="H25" i="6"/>
  <c r="J21" i="6"/>
  <c r="H21" i="6"/>
  <c r="J23" i="6"/>
  <c r="J22" i="6"/>
  <c r="J20" i="6" s="1"/>
  <c r="J16" i="6"/>
  <c r="J19" i="6"/>
  <c r="J17" i="6"/>
  <c r="H19" i="6"/>
  <c r="H17" i="6"/>
  <c r="H9" i="6"/>
  <c r="H8" i="6"/>
  <c r="H7" i="6"/>
  <c r="J8" i="6"/>
  <c r="J9" i="6"/>
  <c r="J10" i="6"/>
  <c r="J11" i="6"/>
  <c r="J6" i="6" s="1"/>
  <c r="J12" i="6"/>
  <c r="J13" i="6"/>
  <c r="J14" i="6"/>
  <c r="J15" i="6"/>
  <c r="J7" i="6"/>
  <c r="H15" i="6"/>
  <c r="Q57" i="6"/>
  <c r="Q56" i="6" s="1"/>
  <c r="Q55" i="6"/>
  <c r="Q54" i="6" s="1"/>
  <c r="Q53" i="6"/>
  <c r="Q52" i="6"/>
  <c r="O51" i="6"/>
  <c r="Q51" i="6" s="1"/>
  <c r="Q50" i="6"/>
  <c r="Q49" i="6" s="1"/>
  <c r="O50" i="6"/>
  <c r="Q48" i="6"/>
  <c r="Q47" i="6"/>
  <c r="Q46" i="6"/>
  <c r="Q45" i="6"/>
  <c r="O45" i="6"/>
  <c r="Q44" i="6"/>
  <c r="Q43" i="6"/>
  <c r="O42" i="6"/>
  <c r="Q42" i="6" s="1"/>
  <c r="Q41" i="6"/>
  <c r="Q40" i="6"/>
  <c r="Q39" i="6"/>
  <c r="O38" i="6"/>
  <c r="Q38" i="6" s="1"/>
  <c r="O37" i="6"/>
  <c r="Q37" i="6" s="1"/>
  <c r="O36" i="6"/>
  <c r="Q36" i="6" s="1"/>
  <c r="Q35" i="6"/>
  <c r="Q34" i="6"/>
  <c r="P34" i="6"/>
  <c r="Q33" i="6"/>
  <c r="O32" i="6"/>
  <c r="Q32" i="6" s="1"/>
  <c r="Q30" i="6"/>
  <c r="O30" i="6"/>
  <c r="Q29" i="6"/>
  <c r="O29" i="6"/>
  <c r="O28" i="6"/>
  <c r="Q28" i="6" s="1"/>
  <c r="Q27" i="6" s="1"/>
  <c r="O26" i="6"/>
  <c r="Q26" i="6" s="1"/>
  <c r="Q25" i="6" s="1"/>
  <c r="O24" i="6"/>
  <c r="Q24" i="6" s="1"/>
  <c r="Q21" i="6"/>
  <c r="Q18" i="6" s="1"/>
  <c r="O21" i="6"/>
  <c r="Q20" i="6"/>
  <c r="O20" i="6"/>
  <c r="O17" i="6"/>
  <c r="Q17" i="6" s="1"/>
  <c r="O16" i="6"/>
  <c r="Q16" i="6" s="1"/>
  <c r="Q14" i="6" s="1"/>
  <c r="Q13" i="6"/>
  <c r="O12" i="6"/>
  <c r="Q12" i="6" s="1"/>
  <c r="Q11" i="6"/>
  <c r="Q10" i="6"/>
  <c r="O9" i="6"/>
  <c r="Q9" i="6" s="1"/>
  <c r="O8" i="6"/>
  <c r="Q8" i="6" s="1"/>
  <c r="O7" i="6"/>
  <c r="Q7" i="6" s="1"/>
  <c r="G57" i="6"/>
  <c r="G56" i="6" s="1"/>
  <c r="G55" i="6"/>
  <c r="G54" i="6" s="1"/>
  <c r="G53" i="6"/>
  <c r="G52" i="6"/>
  <c r="E51" i="6"/>
  <c r="G51" i="6" s="1"/>
  <c r="E50" i="6"/>
  <c r="G50" i="6" s="1"/>
  <c r="G49" i="6" s="1"/>
  <c r="G48" i="6"/>
  <c r="G47" i="6"/>
  <c r="G46" i="6"/>
  <c r="E45" i="6"/>
  <c r="G45" i="6" s="1"/>
  <c r="G44" i="6"/>
  <c r="G43" i="6"/>
  <c r="F42" i="6"/>
  <c r="G42" i="6" s="1"/>
  <c r="G41" i="6"/>
  <c r="G40" i="6"/>
  <c r="G39" i="6"/>
  <c r="G38" i="6"/>
  <c r="E37" i="6"/>
  <c r="G37" i="6" s="1"/>
  <c r="E36" i="6"/>
  <c r="G36" i="6" s="1"/>
  <c r="E35" i="6"/>
  <c r="G35" i="6" s="1"/>
  <c r="G34" i="6"/>
  <c r="F33" i="6"/>
  <c r="G33" i="6" s="1"/>
  <c r="G32" i="6"/>
  <c r="E31" i="6"/>
  <c r="G31" i="6" s="1"/>
  <c r="E29" i="6"/>
  <c r="G29" i="6" s="1"/>
  <c r="E28" i="6"/>
  <c r="G28" i="6" s="1"/>
  <c r="E27" i="6"/>
  <c r="G27" i="6" s="1"/>
  <c r="G26" i="6" s="1"/>
  <c r="E25" i="6"/>
  <c r="G25" i="6" s="1"/>
  <c r="G24" i="6" s="1"/>
  <c r="E21" i="6"/>
  <c r="G21" i="6" s="1"/>
  <c r="G20" i="6" s="1"/>
  <c r="G18" i="6"/>
  <c r="E17" i="6"/>
  <c r="G17" i="6" s="1"/>
  <c r="G16" i="6" s="1"/>
  <c r="G14" i="6"/>
  <c r="G13" i="6"/>
  <c r="G12" i="6"/>
  <c r="G11" i="6"/>
  <c r="G10" i="6"/>
  <c r="E9" i="6"/>
  <c r="G9" i="6" s="1"/>
  <c r="E8" i="6"/>
  <c r="G8" i="6" s="1"/>
  <c r="E7" i="6"/>
  <c r="J58" i="6" l="1"/>
  <c r="J59" i="6"/>
  <c r="J60" i="6" s="1"/>
  <c r="Q31" i="6"/>
  <c r="Q58" i="6" s="1"/>
  <c r="G7" i="6"/>
  <c r="G6" i="6" s="1"/>
  <c r="G30" i="6"/>
  <c r="Q59" i="6" l="1"/>
  <c r="Q60" i="6" s="1"/>
  <c r="G58" i="6"/>
  <c r="G59" i="6"/>
  <c r="G60" i="6" s="1"/>
  <c r="G19" i="3" l="1"/>
  <c r="E7" i="3"/>
  <c r="E15" i="3" l="1"/>
  <c r="G15" i="3" s="1"/>
  <c r="G12" i="3"/>
  <c r="E17" i="3" l="1"/>
  <c r="E40" i="3"/>
  <c r="E25" i="3"/>
  <c r="E23" i="3"/>
  <c r="E21" i="3"/>
  <c r="E11" i="3"/>
  <c r="G11" i="3" s="1"/>
  <c r="E9" i="3"/>
  <c r="E8" i="3"/>
  <c r="G47" i="3" l="1"/>
  <c r="G46" i="3" s="1"/>
  <c r="G45" i="3"/>
  <c r="G44" i="3" s="1"/>
  <c r="G43" i="3"/>
  <c r="G42" i="3"/>
  <c r="E41" i="3"/>
  <c r="G41" i="3" s="1"/>
  <c r="G40" i="3"/>
  <c r="G38" i="3"/>
  <c r="G37" i="3"/>
  <c r="G36" i="3"/>
  <c r="G35" i="3"/>
  <c r="G34" i="3"/>
  <c r="G33" i="3"/>
  <c r="G32" i="3"/>
  <c r="E31" i="3"/>
  <c r="G31" i="3" s="1"/>
  <c r="G30" i="3"/>
  <c r="G29" i="3"/>
  <c r="G28" i="3"/>
  <c r="E27" i="3"/>
  <c r="G27" i="3" s="1"/>
  <c r="G25" i="3"/>
  <c r="G24" i="3"/>
  <c r="G23" i="3"/>
  <c r="G21" i="3"/>
  <c r="G20" i="3" s="1"/>
  <c r="G17" i="3"/>
  <c r="E14" i="3"/>
  <c r="G14" i="3" s="1"/>
  <c r="G13" i="3" s="1"/>
  <c r="G10" i="3"/>
  <c r="G9" i="3"/>
  <c r="G8" i="3"/>
  <c r="G7" i="3"/>
  <c r="G6" i="3" l="1"/>
  <c r="G26" i="3"/>
  <c r="G22" i="3"/>
  <c r="G39" i="3"/>
  <c r="G48" i="3" l="1"/>
  <c r="G49" i="3"/>
  <c r="G50" i="3" l="1"/>
</calcChain>
</file>

<file path=xl/sharedStrings.xml><?xml version="1.0" encoding="utf-8"?>
<sst xmlns="http://schemas.openxmlformats.org/spreadsheetml/2006/main" count="427" uniqueCount="147">
  <si>
    <t>工程名称：体检中心电测听室改造工程</t>
  </si>
  <si>
    <t>序号</t>
  </si>
  <si>
    <t>项目名称</t>
  </si>
  <si>
    <t>项目特征描述</t>
  </si>
  <si>
    <t>计量单位</t>
  </si>
  <si>
    <t>工程量</t>
  </si>
  <si>
    <t>金额（元）</t>
  </si>
  <si>
    <t>备注</t>
  </si>
  <si>
    <t>拆除工程</t>
  </si>
  <si>
    <t>拆除隔墙</t>
  </si>
  <si>
    <t>m3</t>
  </si>
  <si>
    <t>拆除地面瓷砖</t>
  </si>
  <si>
    <t>m2</t>
  </si>
  <si>
    <t>拆除天花</t>
  </si>
  <si>
    <t>拆除天花龙骨，拆除铝扣板天花</t>
  </si>
  <si>
    <t>拆除风机盘管</t>
  </si>
  <si>
    <t>拆除2套风机盘管及其管道等</t>
  </si>
  <si>
    <t>项</t>
  </si>
  <si>
    <t>拆除窗户玻璃</t>
  </si>
  <si>
    <t>面积：1.25m2</t>
  </si>
  <si>
    <t>墙壁打孔</t>
  </si>
  <si>
    <t>直径50mm</t>
  </si>
  <si>
    <t>个</t>
  </si>
  <si>
    <t>门窗工程</t>
  </si>
  <si>
    <t>木门及木门套</t>
  </si>
  <si>
    <t>1.尺寸：1.2m*2.4m；
2.含木门、木门套、隔音门框喇叭口、门五金、胶条等</t>
  </si>
  <si>
    <t>砌筑工程</t>
  </si>
  <si>
    <t xml:space="preserve"> </t>
  </si>
  <si>
    <t>墙面面贴隔音板</t>
  </si>
  <si>
    <t>天棚工程</t>
  </si>
  <si>
    <t xml:space="preserve">     </t>
  </si>
  <si>
    <t>铝扣板天花</t>
  </si>
  <si>
    <r>
      <rPr>
        <sz val="12"/>
        <rFont val="宋体"/>
        <family val="3"/>
        <charset val="134"/>
      </rPr>
      <t>m</t>
    </r>
    <r>
      <rPr>
        <vertAlign val="superscript"/>
        <sz val="12"/>
        <rFont val="宋体"/>
        <family val="3"/>
        <charset val="134"/>
      </rPr>
      <t>2</t>
    </r>
  </si>
  <si>
    <t>地面工程</t>
  </si>
  <si>
    <t>地面找平</t>
  </si>
  <si>
    <t xml:space="preserve">1.自流平3mm；
2.找平20mm；
</t>
  </si>
  <si>
    <t>铺贴地胶</t>
  </si>
  <si>
    <t>地面隔音层</t>
  </si>
  <si>
    <t>隔音毡</t>
  </si>
  <si>
    <t>暖通工程</t>
  </si>
  <si>
    <t xml:space="preserve">  </t>
  </si>
  <si>
    <t>软管</t>
  </si>
  <si>
    <t>软管接上方通风管，软管0.3m*0.3m。6个，每条2m。含保温棉</t>
  </si>
  <si>
    <t>风管送风式空调机</t>
  </si>
  <si>
    <t>1.名称：内机用卧式暗装风机盘管
2.型号：FP-04功率：50W 静音风机盘管 三排，1匹</t>
  </si>
  <si>
    <t>台</t>
  </si>
  <si>
    <t>空调室内天花机含外机</t>
  </si>
  <si>
    <t>1.5匹</t>
  </si>
  <si>
    <t>外机支架</t>
  </si>
  <si>
    <t>不锈钢支架</t>
  </si>
  <si>
    <t>铜管</t>
  </si>
  <si>
    <t>1.安装部位:室内
2.介质:冷媒
3.规格、压力等级:空调用去磷无缝紫铜管 1匹空调管
4.连接形式:焊接
5.压力试验及吹、洗设计要求:空气吹扫
6.管道保温:橡塑管壳
7.综合考虑完成该工艺的所有施工内容，详见设计图纸及相关规范，满足设计规范及用户需求</t>
  </si>
  <si>
    <t>m</t>
  </si>
  <si>
    <t>1.安装部位:室内
2.介质:冷媒
3.规格、压力等级:空调用去磷无缝紫铜管 1.5匹空调管
4.连接形式:焊接
5.压力试验及吹、洗设计要求:空气吹扫
6.管道保温:橡塑管壳
7.综合考虑完成该工艺的所有施工内容，详见设计图纸及相关规范，满足设计规范及用户需求</t>
  </si>
  <si>
    <t>碳钢通风管道</t>
  </si>
  <si>
    <t>(1)名称:碳钢通风管道制作安装_x000D_
(2)材质:镀锌钢板_x000D_
(3)形状:矩形_x000D_
(4)规格:200＜D(b)≤320_x000D_
(5)板材厚度:0.5mm_x000D_
(6)管件、法兰等附件及支架设计要求:含风管法兰、加固框和吊托支架制作安装</t>
  </si>
  <si>
    <t>风机盘管控制面板</t>
  </si>
  <si>
    <t>1.名称：风机盘管控制面板
2.型号、规格：按键面板 2～6键
3.安装方式：暗装，H=1.3m</t>
  </si>
  <si>
    <t>阻抗式进气消声器</t>
  </si>
  <si>
    <t>1.名称:成品消声器
2.规格:L=1.5m
3.支架形式、材质:吊架、型钢</t>
  </si>
  <si>
    <t xml:space="preserve">阻抗式排气消声器 </t>
  </si>
  <si>
    <t>PVC-U排水管De25及三通</t>
  </si>
  <si>
    <r>
      <rPr>
        <sz val="10"/>
        <color indexed="8"/>
        <rFont val="宋体"/>
        <family val="3"/>
        <charset val="134"/>
      </rPr>
      <t xml:space="preserve">1.PVC-U排水管_x000D_
2.安装部位:室内_x000D_
3.型号规格:De25_x000D_
4.连接方式:粘接_x000D_
5.压力试验及吹洗设计要求:灌水试验_x000D_
6.含管箍、管堵、套管；
</t>
    </r>
    <r>
      <rPr>
        <sz val="10"/>
        <color indexed="8"/>
        <rFont val="宋体"/>
        <family val="3"/>
        <charset val="134"/>
      </rPr>
      <t>7.</t>
    </r>
    <r>
      <rPr>
        <sz val="10"/>
        <color indexed="8"/>
        <rFont val="宋体"/>
        <family val="3"/>
        <charset val="134"/>
      </rPr>
      <t>管道保温</t>
    </r>
    <r>
      <rPr>
        <sz val="10"/>
        <color indexed="8"/>
        <rFont val="宋体"/>
        <family val="3"/>
        <charset val="134"/>
      </rPr>
      <t>:</t>
    </r>
    <r>
      <rPr>
        <sz val="10"/>
        <color indexed="8"/>
        <rFont val="宋体"/>
        <family val="3"/>
        <charset val="134"/>
      </rPr>
      <t>橡塑管壳</t>
    </r>
  </si>
  <si>
    <t>消防管隔音</t>
  </si>
  <si>
    <t>1.DN90消防管粘贴隔音棉，木板围柱</t>
  </si>
  <si>
    <t>Y型过滤器</t>
  </si>
  <si>
    <t>套</t>
  </si>
  <si>
    <t>80KG/m3离心棉50mm厚保温隔热，</t>
  </si>
  <si>
    <t>1.80KG/m3离心棉50mm厚保温隔热</t>
  </si>
  <si>
    <t>闸阀</t>
  </si>
  <si>
    <t>DN25铜闸阀</t>
  </si>
  <si>
    <t>空气开关盒</t>
  </si>
  <si>
    <t>双P25A
空气开关</t>
  </si>
  <si>
    <t>电气工程</t>
  </si>
  <si>
    <t>配线  WDZ-BYJ-4mm2</t>
  </si>
  <si>
    <t>1.名称:配线_x000D_
2.规格型号：WDZ-BYJ-(3*4)CT。KBG20.SCE</t>
  </si>
  <si>
    <t>配管  SC50</t>
  </si>
  <si>
    <t>1.名称:配管_x000D_
2.规格型号：SC50_x000D_
3.敷设方式：明敷</t>
  </si>
  <si>
    <t>插座</t>
  </si>
  <si>
    <t>23型插座</t>
  </si>
  <si>
    <t>10位漏电开关保护器及箱</t>
  </si>
  <si>
    <t>预制双层电测室箱</t>
  </si>
  <si>
    <t>1.箱净尺寸：3m*2m，保证箱体内小于25分贝，含制作和安装；箱内安装紫铜网板，达到电磁屏蔽的目的；
2.电测听室整体采用双悬浮、中空、螺旋消音技术安装、达到整体隔掁。</t>
  </si>
  <si>
    <t>分贝检测费</t>
  </si>
  <si>
    <t>税金9%</t>
  </si>
  <si>
    <t>工程费合计</t>
  </si>
  <si>
    <t>工程</t>
  </si>
  <si>
    <t xml:space="preserve">招标控制价  </t>
  </si>
  <si>
    <t>（小写）：</t>
  </si>
  <si>
    <t>（大写）：</t>
  </si>
  <si>
    <t>湛江中心人民医院</t>
  </si>
  <si>
    <t>造价咨询人：</t>
  </si>
  <si>
    <t>（单位盖章）</t>
  </si>
  <si>
    <t>(单位资质专用章)</t>
  </si>
  <si>
    <t>法定代表人  
或其授权人：</t>
  </si>
  <si>
    <t>法定代表人  
  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</si>
  <si>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</si>
  <si>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</si>
  <si>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</si>
  <si>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</si>
  <si>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</si>
  <si>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 xml:space="preserve">编 制 时 间：  </t>
  </si>
  <si>
    <t xml:space="preserve">复 核 时 间：  </t>
  </si>
  <si>
    <t>扉-2</t>
  </si>
  <si>
    <t>湛江中心人民医院体检中心隔音测听室改造</t>
    <phoneticPr fontId="13" type="noConversion"/>
  </si>
  <si>
    <t>投 标 报 价</t>
    <phoneticPr fontId="13" type="noConversion"/>
  </si>
  <si>
    <t>投  标  人：</t>
    <phoneticPr fontId="13" type="noConversion"/>
  </si>
  <si>
    <t>综合单价</t>
    <phoneticPr fontId="13" type="noConversion"/>
  </si>
  <si>
    <t>综合合价</t>
    <phoneticPr fontId="13" type="noConversion"/>
  </si>
  <si>
    <t>1.地面瓷砖（16.52+16.52）m2</t>
    <phoneticPr fontId="13" type="noConversion"/>
  </si>
  <si>
    <t>拆除木门和门套</t>
    <phoneticPr fontId="13" type="noConversion"/>
  </si>
  <si>
    <t>1、尺寸：1m*2.4m*2</t>
    <phoneticPr fontId="13" type="noConversion"/>
  </si>
  <si>
    <t>m2</t>
    <phoneticPr fontId="13" type="noConversion"/>
  </si>
  <si>
    <t>砌隔墙</t>
    <phoneticPr fontId="13" type="noConversion"/>
  </si>
  <si>
    <t>面积(5.8-2.259)*5.9m2，含风管和喷淋头等安装和龙骨等，冲孔铝扣板600*600，楼板层天花安装吸音棉</t>
    <phoneticPr fontId="13" type="noConversion"/>
  </si>
  <si>
    <t xml:space="preserve">铺贴地胶2.0mm，5.8m*5.9m
</t>
    <phoneticPr fontId="13" type="noConversion"/>
  </si>
  <si>
    <t>1.龙骨：金属龙骨，断面7.5cm2.龙骨平均中距：300mm；
2.面层材料品种：隔音棉 不绣钢网 金属微孔包吸音板，周长23m</t>
    <phoneticPr fontId="13" type="noConversion"/>
  </si>
  <si>
    <t>1.A5.0加气混凝土砌块，200厚；
2.尺寸：(5.8+1+1)m*4.8m*0.2m</t>
    <phoneticPr fontId="13" type="noConversion"/>
  </si>
  <si>
    <t>窗户磨砂玻璃纸</t>
    <phoneticPr fontId="13" type="noConversion"/>
  </si>
  <si>
    <t>尺寸：5.8m*4.8m，含切割，每个窗面积约1m2。</t>
    <phoneticPr fontId="13" type="noConversion"/>
  </si>
  <si>
    <t>墙面工程</t>
    <phoneticPr fontId="13" type="noConversion"/>
  </si>
  <si>
    <t>墙面贴瓷砖</t>
    <phoneticPr fontId="13" type="noConversion"/>
  </si>
  <si>
    <t>1.隔墙尺寸：5.9m*4.8m*0.2m+1.2m*2.4m*0.2m</t>
    <phoneticPr fontId="13" type="noConversion"/>
  </si>
  <si>
    <t>尺寸：1m*2.4m*2*2，抹灰、找平、贴瓷砖，瓷砖尺寸800mm*400mm</t>
    <phoneticPr fontId="13" type="noConversion"/>
  </si>
  <si>
    <t>体检中心电测听室改造工程投标报价</t>
    <phoneticPr fontId="13" type="noConversion"/>
  </si>
  <si>
    <t>综合单价</t>
    <phoneticPr fontId="13" type="noConversion"/>
  </si>
  <si>
    <t>综合合价</t>
    <phoneticPr fontId="13" type="noConversion"/>
  </si>
  <si>
    <t>1.隔墙尺寸：（7.4+2.1）m*4.3m*0.2m</t>
  </si>
  <si>
    <t>1.地面瓷砖46.43m2</t>
  </si>
  <si>
    <t>天花打孔</t>
  </si>
  <si>
    <t>楼板打孔</t>
  </si>
  <si>
    <t>安装窗玻璃</t>
  </si>
  <si>
    <t>穿孔50cm</t>
  </si>
  <si>
    <t>1.龙骨：金属龙骨，断面7.5cm2.龙骨平均中距：300mm；
2.面层材料品种：隔音棉 不绣钢网 金属微孔包吸音板，周长27.42m</t>
  </si>
  <si>
    <t>面积6.5*15m2，含风管和喷淋头等安装和龙骨等，冲孔铝扣板600*600，楼板层天花安装吸音棉</t>
  </si>
  <si>
    <t xml:space="preserve">铺贴地胶2.0mm，2.8m*7.4m
</t>
  </si>
  <si>
    <t>PVC-U排水管De50</t>
  </si>
  <si>
    <t>1.PVC-U排水管
2.安装部位:室内
3.型号规格:De50
4.连接方式:粘接
5.压力试验及吹洗设计要求:灌水试验
6.含管箍、管堵、套管；
7.移动原洗手间地漏排水管到墙，含两个弯头</t>
  </si>
  <si>
    <t>尺寸：1m*2.4m*2，抹灰、找平、贴瓷砖，瓷砖尺寸800mm*400mm</t>
    <phoneticPr fontId="13" type="noConversion"/>
  </si>
  <si>
    <t>1.A5.0加气混凝土砌块，200厚；
2.尺寸：(5.8m*4.8m+(1+1)*2.4m)*0.2m</t>
    <phoneticPr fontId="13" type="noConversion"/>
  </si>
  <si>
    <t xml:space="preserve">铺贴地胶2.0mm，(5.8-2.259)m*5.9m
</t>
    <phoneticPr fontId="13" type="noConversion"/>
  </si>
  <si>
    <t>风管送风式中央空调</t>
    <phoneticPr fontId="13" type="noConversion"/>
  </si>
  <si>
    <t>橡塑保温板</t>
    <phoneticPr fontId="13" type="noConversion"/>
  </si>
  <si>
    <t>橡塑复合隔热材料，厚度25mm，水管和风管</t>
    <phoneticPr fontId="13" type="noConversion"/>
  </si>
  <si>
    <t>1.名称：内机用卧式暗装风机盘管
2.型号：FP-04 静音风机盘管 ，1匹，包括内机和外机。</t>
    <phoneticPr fontId="13" type="noConversion"/>
  </si>
  <si>
    <t>体检中心电测听室改造工程预算</t>
    <phoneticPr fontId="13" type="noConversion"/>
  </si>
  <si>
    <t>工程名称：体检中心电测听室改造工程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</si>
</sst>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3" formatCode="\$#,##0_);\(\$#,##0\)"/>
    <numFmt numFmtId="176" formatCode="0.00_);[Red]\(0.00\)"/>
    <numFmt numFmtId="177" formatCode="0.00_ ;[Red]\-0.00\ "/>
    <numFmt numFmtId="178" formatCode="0.000_);[Red]\(0.000\)"/>
  </numFmts>
  <fonts count="22">
    <font>
      <sz val="9"/>
      <color theme="1"/>
      <name val="??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新宋体"/>
      <family val="3"/>
      <charset val="134"/>
    </font>
    <font>
      <sz val="11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vertAlign val="superscript"/>
      <sz val="12"/>
      <name val="宋体"/>
      <family val="3"/>
      <charset val="134"/>
    </font>
    <font>
      <sz val="9"/>
      <color theme="1"/>
      <name val="??"/>
      <charset val="134"/>
      <scheme val="minor"/>
    </font>
    <font>
      <sz val="9"/>
      <color theme="1"/>
      <name val="??"/>
      <family val="2"/>
      <charset val="134"/>
      <scheme val="minor"/>
    </font>
    <font>
      <sz val="9"/>
      <name val="宋体"/>
      <family val="3"/>
      <charset val="134"/>
    </font>
    <font>
      <sz val="9"/>
      <name val="??"/>
      <charset val="134"/>
      <scheme val="minor"/>
    </font>
    <font>
      <b/>
      <sz val="18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8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</cellStyleXfs>
  <cellXfs count="120">
    <xf numFmtId="0" fontId="0" fillId="0" borderId="0" xfId="0" applyAlignment="1"/>
    <xf numFmtId="0" fontId="1" fillId="0" borderId="0" xfId="2" applyFont="1"/>
    <xf numFmtId="0" fontId="1" fillId="0" borderId="0" xfId="4" applyFont="1"/>
    <xf numFmtId="0" fontId="0" fillId="0" borderId="0" xfId="0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76" fontId="4" fillId="2" borderId="5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176" fontId="4" fillId="2" borderId="5" xfId="1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23" fontId="1" fillId="4" borderId="5" xfId="4" applyNumberFormat="1" applyFont="1" applyFill="1" applyBorder="1" applyAlignment="1" applyProtection="1">
      <alignment horizontal="left" vertical="center" wrapText="1"/>
    </xf>
    <xf numFmtId="23" fontId="1" fillId="4" borderId="5" xfId="4" applyNumberFormat="1" applyFont="1" applyFill="1" applyBorder="1" applyAlignment="1" applyProtection="1">
      <alignment horizontal="center" vertical="center" wrapText="1"/>
    </xf>
    <xf numFmtId="176" fontId="1" fillId="4" borderId="5" xfId="4" applyNumberFormat="1" applyFont="1" applyFill="1" applyBorder="1" applyAlignment="1" applyProtection="1">
      <alignment horizontal="right" vertical="center" shrinkToFi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23" fontId="1" fillId="4" borderId="5" xfId="2" applyNumberFormat="1" applyFont="1" applyFill="1" applyBorder="1" applyAlignment="1" applyProtection="1">
      <alignment horizontal="left" vertical="center" wrapText="1"/>
    </xf>
    <xf numFmtId="23" fontId="1" fillId="4" borderId="5" xfId="2" applyNumberFormat="1" applyFont="1" applyFill="1" applyBorder="1" applyAlignment="1" applyProtection="1">
      <alignment horizontal="center" vertical="center" wrapText="1"/>
    </xf>
    <xf numFmtId="176" fontId="1" fillId="4" borderId="5" xfId="2" applyNumberFormat="1" applyFont="1" applyFill="1" applyBorder="1" applyAlignment="1" applyProtection="1">
      <alignment horizontal="right" vertical="center" shrinkToFit="1"/>
    </xf>
    <xf numFmtId="23" fontId="1" fillId="4" borderId="5" xfId="3" applyNumberFormat="1" applyFont="1" applyFill="1" applyBorder="1" applyAlignment="1" applyProtection="1">
      <alignment horizontal="left" vertical="center" wrapText="1"/>
    </xf>
    <xf numFmtId="23" fontId="1" fillId="4" borderId="5" xfId="3" applyNumberFormat="1" applyFont="1" applyFill="1" applyBorder="1" applyAlignment="1" applyProtection="1">
      <alignment horizontal="center" vertical="center" wrapText="1"/>
    </xf>
    <xf numFmtId="2" fontId="1" fillId="4" borderId="5" xfId="3" applyNumberFormat="1" applyFont="1" applyFill="1" applyBorder="1" applyAlignment="1" applyProtection="1">
      <alignment horizontal="right" vertical="center" shrinkToFit="1"/>
    </xf>
    <xf numFmtId="0" fontId="1" fillId="3" borderId="5" xfId="0" applyNumberFormat="1" applyFont="1" applyFill="1" applyBorder="1" applyAlignment="1" applyProtection="1">
      <alignment vertical="center" wrapText="1"/>
    </xf>
    <xf numFmtId="178" fontId="1" fillId="3" borderId="5" xfId="0" applyNumberFormat="1" applyFont="1" applyFill="1" applyBorder="1" applyAlignment="1" applyProtection="1">
      <alignment horizontal="right" vertical="center" wrapText="1"/>
    </xf>
    <xf numFmtId="23" fontId="8" fillId="4" borderId="5" xfId="2" applyNumberFormat="1" applyFont="1" applyFill="1" applyBorder="1" applyAlignment="1" applyProtection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1" fillId="0" borderId="10" xfId="2" applyFont="1" applyBorder="1"/>
    <xf numFmtId="0" fontId="1" fillId="0" borderId="10" xfId="4" applyFont="1" applyBorder="1"/>
    <xf numFmtId="0" fontId="0" fillId="0" borderId="10" xfId="0" applyBorder="1">
      <alignment vertical="center"/>
    </xf>
    <xf numFmtId="0" fontId="0" fillId="0" borderId="11" xfId="0" applyBorder="1" applyAlignment="1"/>
    <xf numFmtId="0" fontId="0" fillId="0" borderId="0" xfId="0" applyFill="1" applyAlignment="1"/>
    <xf numFmtId="177" fontId="0" fillId="0" borderId="0" xfId="0" applyNumberFormat="1" applyFill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 wrapText="1"/>
    </xf>
    <xf numFmtId="177" fontId="5" fillId="0" borderId="5" xfId="1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1" applyNumberFormat="1" applyFont="1" applyFill="1" applyBorder="1" applyAlignment="1">
      <alignment horizontal="right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1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 applyProtection="1">
      <alignment horizontal="right" vertical="center" shrinkToFit="1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177" fontId="8" fillId="0" borderId="5" xfId="0" applyNumberFormat="1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/>
    <xf numFmtId="177" fontId="0" fillId="0" borderId="5" xfId="0" applyNumberFormat="1" applyFill="1" applyBorder="1" applyAlignment="1">
      <alignment horizontal="center" vertical="center"/>
    </xf>
    <xf numFmtId="0" fontId="0" fillId="0" borderId="7" xfId="0" applyFill="1" applyBorder="1" applyAlignment="1"/>
    <xf numFmtId="177" fontId="0" fillId="0" borderId="7" xfId="0" applyNumberFormat="1" applyFill="1" applyBorder="1" applyAlignment="1">
      <alignment horizontal="center" vertical="center"/>
    </xf>
    <xf numFmtId="0" fontId="11" fillId="0" borderId="0" xfId="5"/>
    <xf numFmtId="0" fontId="12" fillId="2" borderId="0" xfId="6" applyFont="1" applyFill="1" applyAlignment="1">
      <alignment horizontal="right" vertical="center" wrapText="1"/>
    </xf>
    <xf numFmtId="0" fontId="12" fillId="2" borderId="0" xfId="6" applyFont="1" applyFill="1" applyAlignment="1">
      <alignment horizontal="left" vertical="center" wrapText="1"/>
    </xf>
    <xf numFmtId="0" fontId="16" fillId="2" borderId="0" xfId="6" applyFont="1" applyFill="1" applyAlignment="1">
      <alignment horizontal="right" wrapText="1"/>
    </xf>
    <xf numFmtId="0" fontId="12" fillId="2" borderId="0" xfId="6" applyFont="1" applyFill="1" applyAlignment="1">
      <alignment horizontal="right" vertical="top" wrapText="1"/>
    </xf>
    <xf numFmtId="0" fontId="4" fillId="2" borderId="0" xfId="6" applyFont="1" applyFill="1" applyAlignment="1">
      <alignment horizontal="center" wrapText="1"/>
    </xf>
    <xf numFmtId="0" fontId="4" fillId="2" borderId="14" xfId="6" applyFont="1" applyFill="1" applyBorder="1" applyAlignment="1">
      <alignment horizontal="center" vertical="center" wrapText="1"/>
    </xf>
    <xf numFmtId="0" fontId="3" fillId="2" borderId="14" xfId="6" applyFont="1" applyFill="1" applyBorder="1" applyAlignment="1">
      <alignment horizontal="left" wrapText="1"/>
    </xf>
    <xf numFmtId="0" fontId="3" fillId="2" borderId="0" xfId="6" applyFont="1" applyFill="1" applyAlignment="1">
      <alignment horizontal="left" wrapText="1"/>
    </xf>
    <xf numFmtId="0" fontId="17" fillId="2" borderId="0" xfId="6" applyFont="1" applyFill="1" applyAlignment="1">
      <alignment horizontal="right" wrapText="1"/>
    </xf>
    <xf numFmtId="0" fontId="14" fillId="2" borderId="0" xfId="6" applyFont="1" applyFill="1" applyAlignment="1">
      <alignment horizontal="left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76" fontId="4" fillId="0" borderId="5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76" fontId="4" fillId="0" borderId="5" xfId="1" applyNumberFormat="1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23" fontId="18" fillId="4" borderId="5" xfId="3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/>
    <xf numFmtId="0" fontId="0" fillId="0" borderId="5" xfId="0" applyBorder="1">
      <alignment vertical="center"/>
    </xf>
    <xf numFmtId="0" fontId="12" fillId="2" borderId="5" xfId="1" applyFont="1" applyFill="1" applyBorder="1" applyAlignment="1">
      <alignment horizontal="center" vertical="center" wrapText="1"/>
    </xf>
    <xf numFmtId="176" fontId="12" fillId="0" borderId="5" xfId="1" applyNumberFormat="1" applyFont="1" applyFill="1" applyBorder="1" applyAlignment="1">
      <alignment horizontal="center" vertical="center" wrapText="1"/>
    </xf>
    <xf numFmtId="177" fontId="19" fillId="0" borderId="5" xfId="1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/>
    <xf numFmtId="176" fontId="12" fillId="2" borderId="5" xfId="1" applyNumberFormat="1" applyFont="1" applyFill="1" applyBorder="1" applyAlignment="1">
      <alignment horizontal="center" vertical="center" wrapText="1"/>
    </xf>
    <xf numFmtId="177" fontId="20" fillId="0" borderId="5" xfId="0" applyNumberFormat="1" applyFont="1" applyFill="1" applyBorder="1" applyAlignment="1" applyProtection="1">
      <alignment horizontal="center" vertical="center" wrapText="1"/>
    </xf>
    <xf numFmtId="177" fontId="21" fillId="0" borderId="5" xfId="0" applyNumberFormat="1" applyFont="1" applyFill="1" applyBorder="1" applyAlignment="1" applyProtection="1">
      <alignment horizontal="center" vertical="center" wrapText="1"/>
    </xf>
    <xf numFmtId="176" fontId="12" fillId="2" borderId="5" xfId="1" applyNumberFormat="1" applyFont="1" applyFill="1" applyBorder="1" applyAlignment="1">
      <alignment horizontal="right" vertical="center" wrapText="1"/>
    </xf>
    <xf numFmtId="176" fontId="12" fillId="0" borderId="5" xfId="1" applyNumberFormat="1" applyFont="1" applyFill="1" applyBorder="1" applyAlignment="1">
      <alignment horizontal="right" vertical="center" wrapText="1"/>
    </xf>
    <xf numFmtId="176" fontId="20" fillId="0" borderId="5" xfId="0" applyNumberFormat="1" applyFont="1" applyFill="1" applyBorder="1" applyAlignment="1" applyProtection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/>
    </xf>
    <xf numFmtId="177" fontId="12" fillId="0" borderId="5" xfId="1" applyNumberFormat="1" applyFont="1" applyFill="1" applyBorder="1" applyAlignment="1">
      <alignment horizontal="center" vertical="center" wrapText="1"/>
    </xf>
    <xf numFmtId="176" fontId="20" fillId="4" borderId="5" xfId="4" applyNumberFormat="1" applyFont="1" applyFill="1" applyBorder="1" applyAlignment="1" applyProtection="1">
      <alignment horizontal="right" vertical="center" shrinkToFit="1"/>
    </xf>
    <xf numFmtId="2" fontId="20" fillId="0" borderId="5" xfId="0" applyNumberFormat="1" applyFont="1" applyFill="1" applyBorder="1" applyAlignment="1" applyProtection="1">
      <alignment horizontal="right" vertical="center" shrinkToFit="1"/>
    </xf>
    <xf numFmtId="176" fontId="20" fillId="4" borderId="5" xfId="2" applyNumberFormat="1" applyFont="1" applyFill="1" applyBorder="1" applyAlignment="1" applyProtection="1">
      <alignment horizontal="right" vertical="center" shrinkToFit="1"/>
    </xf>
    <xf numFmtId="2" fontId="20" fillId="4" borderId="5" xfId="3" applyNumberFormat="1" applyFont="1" applyFill="1" applyBorder="1" applyAlignment="1" applyProtection="1">
      <alignment horizontal="right" vertical="center" shrinkToFit="1"/>
    </xf>
    <xf numFmtId="178" fontId="20" fillId="3" borderId="5" xfId="0" applyNumberFormat="1" applyFont="1" applyFill="1" applyBorder="1" applyAlignment="1" applyProtection="1">
      <alignment horizontal="right" vertical="center" wrapText="1"/>
    </xf>
    <xf numFmtId="176" fontId="20" fillId="0" borderId="5" xfId="0" applyNumberFormat="1" applyFont="1" applyFill="1" applyBorder="1" applyAlignment="1" applyProtection="1">
      <alignment horizontal="right" vertical="center" wrapText="1"/>
    </xf>
    <xf numFmtId="177" fontId="21" fillId="0" borderId="5" xfId="0" applyNumberFormat="1" applyFont="1" applyFill="1" applyBorder="1" applyAlignment="1" applyProtection="1">
      <alignment horizontal="center" vertical="center" shrinkToFit="1"/>
    </xf>
    <xf numFmtId="176" fontId="0" fillId="0" borderId="5" xfId="0" applyNumberFormat="1" applyBorder="1" applyAlignment="1"/>
    <xf numFmtId="177" fontId="0" fillId="0" borderId="0" xfId="0" applyNumberFormat="1" applyAlignment="1"/>
    <xf numFmtId="0" fontId="3" fillId="2" borderId="0" xfId="6" applyFont="1" applyFill="1" applyAlignment="1">
      <alignment horizontal="left" wrapText="1"/>
    </xf>
    <xf numFmtId="0" fontId="4" fillId="2" borderId="14" xfId="6" applyFont="1" applyFill="1" applyBorder="1" applyAlignment="1">
      <alignment horizontal="center" vertical="center" wrapText="1"/>
    </xf>
    <xf numFmtId="0" fontId="16" fillId="2" borderId="0" xfId="6" applyFont="1" applyFill="1" applyAlignment="1">
      <alignment horizontal="left" wrapText="1"/>
    </xf>
    <xf numFmtId="0" fontId="3" fillId="2" borderId="12" xfId="6" applyFont="1" applyFill="1" applyBorder="1" applyAlignment="1">
      <alignment horizontal="center" wrapText="1"/>
    </xf>
    <xf numFmtId="0" fontId="14" fillId="2" borderId="12" xfId="6" applyFont="1" applyFill="1" applyBorder="1" applyAlignment="1">
      <alignment horizontal="center" wrapText="1"/>
    </xf>
    <xf numFmtId="0" fontId="15" fillId="2" borderId="0" xfId="6" applyFont="1" applyFill="1" applyAlignment="1">
      <alignment horizontal="center" vertical="center" wrapText="1"/>
    </xf>
    <xf numFmtId="0" fontId="3" fillId="2" borderId="13" xfId="6" applyFont="1" applyFill="1" applyBorder="1" applyAlignment="1">
      <alignment horizontal="center" wrapText="1"/>
    </xf>
    <xf numFmtId="0" fontId="16" fillId="2" borderId="0" xfId="6" applyFont="1" applyFill="1" applyAlignment="1">
      <alignment horizontal="right" vertical="center" wrapText="1"/>
    </xf>
    <xf numFmtId="0" fontId="4" fillId="2" borderId="14" xfId="6" applyFont="1" applyFill="1" applyBorder="1" applyAlignment="1">
      <alignment horizontal="center" vertical="top" wrapText="1"/>
    </xf>
    <xf numFmtId="0" fontId="4" fillId="2" borderId="0" xfId="6" applyFont="1" applyFill="1" applyAlignment="1">
      <alignment horizontal="center" vertical="top" wrapText="1"/>
    </xf>
    <xf numFmtId="0" fontId="12" fillId="2" borderId="0" xfId="6" applyFont="1" applyFill="1" applyAlignment="1">
      <alignment horizontal="center" vertical="center" wrapText="1"/>
    </xf>
    <xf numFmtId="0" fontId="16" fillId="2" borderId="0" xfId="6" applyFont="1" applyFill="1" applyAlignment="1">
      <alignment horizontal="right" wrapText="1"/>
    </xf>
    <xf numFmtId="0" fontId="12" fillId="2" borderId="14" xfId="6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176" fontId="4" fillId="0" borderId="5" xfId="1" applyNumberFormat="1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</cellXfs>
  <cellStyles count="7">
    <cellStyle name="Normal" xfId="1"/>
    <cellStyle name="Normal 2" xfId="6"/>
    <cellStyle name="常规" xfId="0" builtinId="0"/>
    <cellStyle name="常规 2" xfId="5"/>
    <cellStyle name="常规_湛江中心人民医院核医学科防护装饰工程-电气工程(单位工程)" xfId="2"/>
    <cellStyle name="常规_湛江中心人民医院核医学科防护装饰工程-给排水工程(单位工程)" xfId="3"/>
    <cellStyle name="常规_湛江中心人民医院核医学科防护装饰工程-暖通工程(单位工程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opLeftCell="A4" workbookViewId="0">
      <selection activeCell="E6" sqref="E6"/>
    </sheetView>
  </sheetViews>
  <sheetFormatPr defaultColWidth="9" defaultRowHeight="11.25"/>
  <cols>
    <col min="1" max="1" width="20" style="49" customWidth="1"/>
    <col min="2" max="2" width="2.33203125" style="49" customWidth="1"/>
    <col min="3" max="3" width="15.33203125" style="49" customWidth="1"/>
    <col min="4" max="4" width="18" style="49" customWidth="1"/>
    <col min="5" max="5" width="24.33203125" style="49" customWidth="1"/>
    <col min="6" max="6" width="8.5" style="49" customWidth="1"/>
    <col min="7" max="7" width="27.1640625" style="49" customWidth="1"/>
    <col min="8" max="16384" width="9" style="49"/>
  </cols>
  <sheetData>
    <row r="1" spans="1:7" ht="69.75" customHeight="1">
      <c r="A1" s="51"/>
      <c r="B1" s="96" t="s">
        <v>104</v>
      </c>
      <c r="C1" s="96"/>
      <c r="D1" s="96"/>
      <c r="E1" s="96"/>
      <c r="F1" s="96"/>
      <c r="G1" s="59" t="s">
        <v>86</v>
      </c>
    </row>
    <row r="2" spans="1:7" ht="60" customHeight="1">
      <c r="A2" s="97" t="s">
        <v>105</v>
      </c>
      <c r="B2" s="97"/>
      <c r="C2" s="97"/>
      <c r="D2" s="97"/>
      <c r="E2" s="97"/>
      <c r="F2" s="97"/>
      <c r="G2" s="97"/>
    </row>
    <row r="3" spans="1:7" ht="37.5" customHeight="1">
      <c r="A3" s="94" t="s">
        <v>87</v>
      </c>
      <c r="B3" s="94"/>
      <c r="C3" s="58" t="s">
        <v>88</v>
      </c>
      <c r="D3" s="95"/>
      <c r="E3" s="95"/>
      <c r="F3" s="95"/>
      <c r="G3" s="95"/>
    </row>
    <row r="4" spans="1:7" ht="29.25" customHeight="1">
      <c r="A4" s="94"/>
      <c r="B4" s="94"/>
      <c r="C4" s="58" t="s">
        <v>89</v>
      </c>
      <c r="D4" s="98"/>
      <c r="E4" s="98"/>
      <c r="F4" s="98"/>
      <c r="G4" s="98"/>
    </row>
    <row r="5" spans="1:7" ht="24" customHeight="1">
      <c r="A5" s="92"/>
      <c r="B5" s="92"/>
      <c r="C5" s="57"/>
      <c r="D5" s="56"/>
      <c r="E5" s="55"/>
      <c r="F5" s="93"/>
      <c r="G5" s="93"/>
    </row>
    <row r="6" spans="1:7" ht="71.25" customHeight="1">
      <c r="A6" s="94" t="s">
        <v>106</v>
      </c>
      <c r="B6" s="94"/>
      <c r="C6" s="95" t="s">
        <v>90</v>
      </c>
      <c r="D6" s="95"/>
      <c r="E6" s="52" t="s">
        <v>91</v>
      </c>
      <c r="F6" s="95"/>
      <c r="G6" s="95"/>
    </row>
    <row r="7" spans="1:7" ht="29.25" customHeight="1">
      <c r="A7" s="99"/>
      <c r="B7" s="99"/>
      <c r="C7" s="100" t="s">
        <v>92</v>
      </c>
      <c r="D7" s="100"/>
      <c r="E7" s="54"/>
      <c r="F7" s="101" t="s">
        <v>93</v>
      </c>
      <c r="G7" s="101"/>
    </row>
    <row r="8" spans="1:7" ht="71.25" customHeight="1">
      <c r="A8" s="94" t="s">
        <v>94</v>
      </c>
      <c r="B8" s="94"/>
      <c r="C8" s="95"/>
      <c r="D8" s="95"/>
      <c r="E8" s="52" t="s">
        <v>95</v>
      </c>
      <c r="F8" s="95"/>
      <c r="G8" s="95"/>
    </row>
    <row r="9" spans="1:7" ht="29.25" customHeight="1">
      <c r="A9" s="94"/>
      <c r="B9" s="94"/>
      <c r="C9" s="100" t="s">
        <v>96</v>
      </c>
      <c r="D9" s="100"/>
      <c r="E9" s="54"/>
      <c r="F9" s="100" t="s">
        <v>96</v>
      </c>
      <c r="G9" s="100"/>
    </row>
    <row r="10" spans="1:7" ht="71.25" customHeight="1">
      <c r="A10" s="94" t="s">
        <v>97</v>
      </c>
      <c r="B10" s="94"/>
      <c r="C10" s="95"/>
      <c r="D10" s="95"/>
      <c r="E10" s="52" t="s">
        <v>98</v>
      </c>
      <c r="F10" s="95"/>
      <c r="G10" s="95"/>
    </row>
    <row r="11" spans="1:7" ht="29.25" customHeight="1">
      <c r="A11" s="103"/>
      <c r="B11" s="103"/>
      <c r="C11" s="100" t="s">
        <v>99</v>
      </c>
      <c r="D11" s="100"/>
      <c r="E11" s="53"/>
      <c r="F11" s="104" t="s">
        <v>100</v>
      </c>
      <c r="G11" s="104"/>
    </row>
    <row r="12" spans="1:7" ht="71.25" customHeight="1">
      <c r="A12" s="94" t="s">
        <v>101</v>
      </c>
      <c r="B12" s="94"/>
      <c r="C12" s="95"/>
      <c r="D12" s="95"/>
      <c r="E12" s="52" t="s">
        <v>102</v>
      </c>
      <c r="F12" s="95"/>
      <c r="G12" s="95"/>
    </row>
    <row r="13" spans="1:7" ht="18" customHeight="1">
      <c r="A13" s="51"/>
      <c r="B13" s="102"/>
      <c r="C13" s="102"/>
      <c r="D13" s="102"/>
      <c r="E13" s="102"/>
      <c r="F13" s="102"/>
      <c r="G13" s="50" t="s">
        <v>103</v>
      </c>
    </row>
  </sheetData>
  <mergeCells count="30">
    <mergeCell ref="B13:F13"/>
    <mergeCell ref="A11:B11"/>
    <mergeCell ref="C11:D11"/>
    <mergeCell ref="F11:G11"/>
    <mergeCell ref="A12:B12"/>
    <mergeCell ref="C12:D12"/>
    <mergeCell ref="F12:G12"/>
    <mergeCell ref="A9:B9"/>
    <mergeCell ref="C9:D9"/>
    <mergeCell ref="F9:G9"/>
    <mergeCell ref="A10:B10"/>
    <mergeCell ref="C10:D10"/>
    <mergeCell ref="F10:G10"/>
    <mergeCell ref="A7:B7"/>
    <mergeCell ref="C7:D7"/>
    <mergeCell ref="F7:G7"/>
    <mergeCell ref="A8:B8"/>
    <mergeCell ref="C8:D8"/>
    <mergeCell ref="F8:G8"/>
    <mergeCell ref="B1:F1"/>
    <mergeCell ref="A2:G2"/>
    <mergeCell ref="A3:B3"/>
    <mergeCell ref="D3:G3"/>
    <mergeCell ref="A4:B4"/>
    <mergeCell ref="D4:G4"/>
    <mergeCell ref="A5:B5"/>
    <mergeCell ref="F5:G5"/>
    <mergeCell ref="A6:B6"/>
    <mergeCell ref="C6:D6"/>
    <mergeCell ref="F6:G6"/>
  </mergeCells>
  <phoneticPr fontId="13" type="noConversion"/>
  <printOptions horizontalCentered="1"/>
  <pageMargins left="0.116416666666667" right="0.116416666666667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50"/>
  <sheetViews>
    <sheetView tabSelected="1" topLeftCell="A49" zoomScale="115" zoomScaleNormal="115" workbookViewId="0">
      <selection activeCell="J12" sqref="J12"/>
    </sheetView>
  </sheetViews>
  <sheetFormatPr defaultColWidth="9" defaultRowHeight="11.25"/>
  <cols>
    <col min="1" max="1" width="7.33203125" customWidth="1"/>
    <col min="2" max="2" width="15.5" customWidth="1"/>
    <col min="3" max="3" width="39.1640625" customWidth="1"/>
    <col min="4" max="4" width="6" customWidth="1"/>
    <col min="5" max="5" width="10.83203125" customWidth="1"/>
    <col min="6" max="6" width="12" style="33" customWidth="1"/>
    <col min="7" max="7" width="13.6640625" style="34" customWidth="1"/>
    <col min="8" max="9" width="12.83203125"/>
  </cols>
  <sheetData>
    <row r="1" spans="1:8" ht="29.25" customHeight="1">
      <c r="A1" s="111" t="s">
        <v>145</v>
      </c>
      <c r="B1" s="111"/>
      <c r="C1" s="111"/>
      <c r="D1" s="111"/>
      <c r="E1" s="111"/>
      <c r="F1" s="111"/>
      <c r="G1" s="111"/>
      <c r="H1" s="111"/>
    </row>
    <row r="2" spans="1:8" ht="14.25" customHeight="1">
      <c r="A2" s="112" t="s">
        <v>146</v>
      </c>
      <c r="B2" s="112"/>
      <c r="C2" s="112"/>
      <c r="D2" s="112"/>
      <c r="E2" s="112"/>
    </row>
    <row r="3" spans="1:8" ht="18" customHeight="1">
      <c r="A3" s="109" t="s">
        <v>1</v>
      </c>
      <c r="B3" s="110" t="s">
        <v>2</v>
      </c>
      <c r="C3" s="110" t="s">
        <v>3</v>
      </c>
      <c r="D3" s="110" t="s">
        <v>4</v>
      </c>
      <c r="E3" s="110" t="s">
        <v>5</v>
      </c>
      <c r="F3" s="113" t="s">
        <v>6</v>
      </c>
      <c r="G3" s="114"/>
      <c r="H3" s="117" t="s">
        <v>7</v>
      </c>
    </row>
    <row r="4" spans="1:8" ht="18" customHeight="1">
      <c r="A4" s="105"/>
      <c r="B4" s="106"/>
      <c r="C4" s="106"/>
      <c r="D4" s="106"/>
      <c r="E4" s="106"/>
      <c r="F4" s="115" t="s">
        <v>107</v>
      </c>
      <c r="G4" s="116" t="s">
        <v>108</v>
      </c>
      <c r="H4" s="118"/>
    </row>
    <row r="5" spans="1:8" ht="18" customHeight="1">
      <c r="A5" s="105"/>
      <c r="B5" s="106"/>
      <c r="C5" s="106"/>
      <c r="D5" s="106"/>
      <c r="E5" s="106"/>
      <c r="F5" s="115"/>
      <c r="G5" s="116"/>
      <c r="H5" s="118"/>
    </row>
    <row r="6" spans="1:8" ht="18" customHeight="1">
      <c r="A6" s="4">
        <v>1</v>
      </c>
      <c r="B6" s="7" t="s">
        <v>8</v>
      </c>
      <c r="C6" s="5"/>
      <c r="D6" s="5"/>
      <c r="E6" s="5"/>
      <c r="F6" s="35"/>
      <c r="G6" s="36">
        <f>SUM(G7:G12)</f>
        <v>5648.1664000000001</v>
      </c>
      <c r="H6" s="28"/>
    </row>
    <row r="7" spans="1:8" ht="46.5" customHeight="1">
      <c r="A7" s="4">
        <v>1.1000000000000001</v>
      </c>
      <c r="B7" s="8" t="s">
        <v>9</v>
      </c>
      <c r="C7" s="67" t="s">
        <v>122</v>
      </c>
      <c r="D7" s="5" t="s">
        <v>10</v>
      </c>
      <c r="E7" s="6">
        <f>5.9*4.8*0.2+1.2*2.4*0.2</f>
        <v>6.24</v>
      </c>
      <c r="F7" s="35">
        <v>151.16</v>
      </c>
      <c r="G7" s="37">
        <f t="shared" ref="G7:G12" si="0">F7*E7</f>
        <v>943.23839999999996</v>
      </c>
      <c r="H7" s="28"/>
    </row>
    <row r="8" spans="1:8" ht="24.75" customHeight="1">
      <c r="A8" s="4">
        <v>1.2</v>
      </c>
      <c r="B8" s="8" t="s">
        <v>11</v>
      </c>
      <c r="C8" s="8" t="s">
        <v>109</v>
      </c>
      <c r="D8" s="5" t="s">
        <v>12</v>
      </c>
      <c r="E8" s="6">
        <f>16.52*2</f>
        <v>33.04</v>
      </c>
      <c r="F8" s="35">
        <v>44.2</v>
      </c>
      <c r="G8" s="37">
        <f t="shared" si="0"/>
        <v>1460.3680000000002</v>
      </c>
      <c r="H8" s="28"/>
    </row>
    <row r="9" spans="1:8" ht="24.75" customHeight="1">
      <c r="A9" s="4">
        <v>1.3</v>
      </c>
      <c r="B9" s="8" t="s">
        <v>13</v>
      </c>
      <c r="C9" s="8" t="s">
        <v>14</v>
      </c>
      <c r="D9" s="5" t="s">
        <v>12</v>
      </c>
      <c r="E9" s="6">
        <f>16.52*2</f>
        <v>33.04</v>
      </c>
      <c r="F9" s="35">
        <v>39</v>
      </c>
      <c r="G9" s="37">
        <f t="shared" si="0"/>
        <v>1288.56</v>
      </c>
      <c r="H9" s="28"/>
    </row>
    <row r="10" spans="1:8" ht="24.75" customHeight="1">
      <c r="A10" s="4">
        <v>1.4</v>
      </c>
      <c r="B10" s="8" t="s">
        <v>15</v>
      </c>
      <c r="C10" s="8" t="s">
        <v>16</v>
      </c>
      <c r="D10" s="5" t="s">
        <v>17</v>
      </c>
      <c r="E10" s="6">
        <v>1</v>
      </c>
      <c r="F10" s="35">
        <v>1500</v>
      </c>
      <c r="G10" s="37">
        <f t="shared" si="0"/>
        <v>1500</v>
      </c>
      <c r="H10" s="28"/>
    </row>
    <row r="11" spans="1:8" ht="24.75" customHeight="1">
      <c r="A11" s="4">
        <v>1.5</v>
      </c>
      <c r="B11" s="8" t="s">
        <v>110</v>
      </c>
      <c r="C11" s="8" t="s">
        <v>111</v>
      </c>
      <c r="D11" s="5" t="s">
        <v>112</v>
      </c>
      <c r="E11" s="6">
        <f>1*2.4*2</f>
        <v>4.8</v>
      </c>
      <c r="F11" s="35">
        <v>45</v>
      </c>
      <c r="G11" s="37">
        <f t="shared" si="0"/>
        <v>216</v>
      </c>
      <c r="H11" s="28"/>
    </row>
    <row r="12" spans="1:8" ht="24.75" customHeight="1">
      <c r="A12" s="60">
        <v>1.6</v>
      </c>
      <c r="B12" s="8" t="s">
        <v>20</v>
      </c>
      <c r="C12" s="8" t="s">
        <v>21</v>
      </c>
      <c r="D12" s="61" t="s">
        <v>22</v>
      </c>
      <c r="E12" s="6">
        <v>6</v>
      </c>
      <c r="F12" s="62">
        <v>40</v>
      </c>
      <c r="G12" s="37">
        <f t="shared" si="0"/>
        <v>240</v>
      </c>
      <c r="H12" s="28"/>
    </row>
    <row r="13" spans="1:8" ht="18" customHeight="1">
      <c r="A13" s="4">
        <v>2</v>
      </c>
      <c r="B13" s="7" t="s">
        <v>23</v>
      </c>
      <c r="C13" s="5"/>
      <c r="D13" s="5"/>
      <c r="E13" s="6"/>
      <c r="F13" s="35"/>
      <c r="G13" s="38">
        <f>SUM(G14:G15)</f>
        <v>2942.4</v>
      </c>
      <c r="H13" s="28"/>
    </row>
    <row r="14" spans="1:8" ht="57" customHeight="1">
      <c r="A14" s="4">
        <v>2.1</v>
      </c>
      <c r="B14" s="8" t="s">
        <v>24</v>
      </c>
      <c r="C14" s="8" t="s">
        <v>25</v>
      </c>
      <c r="D14" s="5" t="s">
        <v>12</v>
      </c>
      <c r="E14" s="6">
        <f>1.2*2.4</f>
        <v>2.88</v>
      </c>
      <c r="F14" s="35">
        <v>780</v>
      </c>
      <c r="G14" s="37">
        <f>F14*E14</f>
        <v>2246.4</v>
      </c>
      <c r="H14" s="28"/>
    </row>
    <row r="15" spans="1:8" ht="57" customHeight="1">
      <c r="A15" s="60">
        <v>2.2000000000000002</v>
      </c>
      <c r="B15" s="8" t="s">
        <v>118</v>
      </c>
      <c r="C15" s="8" t="s">
        <v>119</v>
      </c>
      <c r="D15" s="61" t="s">
        <v>12</v>
      </c>
      <c r="E15" s="6">
        <f>5.8*4.8</f>
        <v>27.84</v>
      </c>
      <c r="F15" s="62">
        <v>25</v>
      </c>
      <c r="G15" s="37">
        <f>F15*E15</f>
        <v>696</v>
      </c>
      <c r="H15" s="28"/>
    </row>
    <row r="16" spans="1:8" ht="19.5" customHeight="1">
      <c r="A16" s="4">
        <v>3</v>
      </c>
      <c r="B16" s="7" t="s">
        <v>120</v>
      </c>
      <c r="C16" s="8"/>
      <c r="D16" s="5"/>
      <c r="E16" s="9" t="s">
        <v>27</v>
      </c>
      <c r="F16" s="39"/>
      <c r="G16" s="36">
        <f>G17+G18+G19</f>
        <v>37913.008000000002</v>
      </c>
      <c r="H16" s="28"/>
    </row>
    <row r="17" spans="1:8" ht="51.95" customHeight="1">
      <c r="A17" s="4">
        <v>3.1</v>
      </c>
      <c r="B17" s="8" t="s">
        <v>28</v>
      </c>
      <c r="C17" s="8" t="s">
        <v>116</v>
      </c>
      <c r="D17" s="5" t="s">
        <v>12</v>
      </c>
      <c r="E17" s="6">
        <f>23*4.8</f>
        <v>110.39999999999999</v>
      </c>
      <c r="F17" s="40">
        <v>303.77</v>
      </c>
      <c r="G17" s="37">
        <f>F17*E17</f>
        <v>33536.207999999999</v>
      </c>
      <c r="H17" s="28"/>
    </row>
    <row r="18" spans="1:8" ht="51.95" customHeight="1">
      <c r="A18" s="60">
        <v>3.2</v>
      </c>
      <c r="B18" s="8" t="s">
        <v>113</v>
      </c>
      <c r="C18" s="8" t="s">
        <v>139</v>
      </c>
      <c r="D18" s="61" t="s">
        <v>12</v>
      </c>
      <c r="E18" s="6">
        <v>6.53</v>
      </c>
      <c r="F18" s="40">
        <v>560</v>
      </c>
      <c r="G18" s="37">
        <f>E18*F18</f>
        <v>3656.8</v>
      </c>
      <c r="H18" s="28"/>
    </row>
    <row r="19" spans="1:8" ht="51.95" customHeight="1">
      <c r="A19" s="63">
        <v>3.3</v>
      </c>
      <c r="B19" s="8" t="s">
        <v>121</v>
      </c>
      <c r="C19" s="8" t="s">
        <v>138</v>
      </c>
      <c r="D19" s="64" t="s">
        <v>12</v>
      </c>
      <c r="E19" s="6">
        <f>1*2.4*2</f>
        <v>4.8</v>
      </c>
      <c r="F19" s="40">
        <v>150</v>
      </c>
      <c r="G19" s="37">
        <f>F19*E19</f>
        <v>720</v>
      </c>
      <c r="H19" s="28"/>
    </row>
    <row r="20" spans="1:8" ht="28.5" customHeight="1">
      <c r="A20" s="4">
        <v>4</v>
      </c>
      <c r="B20" s="7" t="s">
        <v>29</v>
      </c>
      <c r="C20" s="8"/>
      <c r="D20" s="5"/>
      <c r="E20" s="9" t="s">
        <v>30</v>
      </c>
      <c r="F20" s="39" t="s">
        <v>27</v>
      </c>
      <c r="G20" s="36">
        <f>G21</f>
        <v>5181.1912000000002</v>
      </c>
      <c r="H20" s="28"/>
    </row>
    <row r="21" spans="1:8" ht="53.1" customHeight="1">
      <c r="A21" s="4">
        <v>3.1</v>
      </c>
      <c r="B21" s="8" t="s">
        <v>31</v>
      </c>
      <c r="C21" s="10" t="s">
        <v>114</v>
      </c>
      <c r="D21" s="5" t="s">
        <v>32</v>
      </c>
      <c r="E21" s="6">
        <f>(5.8-2.259)*5.9</f>
        <v>20.8919</v>
      </c>
      <c r="F21" s="11">
        <v>248</v>
      </c>
      <c r="G21" s="41">
        <f>F21*E21</f>
        <v>5181.1912000000002</v>
      </c>
      <c r="H21" s="28"/>
    </row>
    <row r="22" spans="1:8" ht="28.5" customHeight="1">
      <c r="A22" s="4">
        <v>5</v>
      </c>
      <c r="B22" s="7" t="s">
        <v>33</v>
      </c>
      <c r="C22" s="8"/>
      <c r="D22" s="5"/>
      <c r="E22" s="9"/>
      <c r="F22" s="39"/>
      <c r="G22" s="36">
        <f>G23+G24+G25</f>
        <v>6309.0470000000005</v>
      </c>
      <c r="H22" s="28"/>
    </row>
    <row r="23" spans="1:8" ht="43.5" customHeight="1">
      <c r="A23" s="4">
        <v>5.0999999999999996</v>
      </c>
      <c r="B23" s="8" t="s">
        <v>34</v>
      </c>
      <c r="C23" s="12" t="s">
        <v>35</v>
      </c>
      <c r="D23" s="5" t="s">
        <v>12</v>
      </c>
      <c r="E23" s="6">
        <f>5.8*5.9</f>
        <v>34.22</v>
      </c>
      <c r="F23" s="40">
        <v>55</v>
      </c>
      <c r="G23" s="37">
        <f>F23*E23</f>
        <v>1882.1</v>
      </c>
      <c r="H23" s="28"/>
    </row>
    <row r="24" spans="1:8" ht="28.5" customHeight="1">
      <c r="A24" s="4">
        <v>5.2</v>
      </c>
      <c r="B24" s="8" t="s">
        <v>36</v>
      </c>
      <c r="C24" s="12" t="s">
        <v>140</v>
      </c>
      <c r="D24" s="13" t="s">
        <v>12</v>
      </c>
      <c r="E24" s="6">
        <f>(5.8-2.259)*5.9</f>
        <v>20.8919</v>
      </c>
      <c r="F24" s="40">
        <v>130</v>
      </c>
      <c r="G24" s="37">
        <f>F24*E24</f>
        <v>2715.9470000000001</v>
      </c>
      <c r="H24" s="28"/>
    </row>
    <row r="25" spans="1:8" ht="28.5" customHeight="1">
      <c r="A25" s="4">
        <v>5.3</v>
      </c>
      <c r="B25" s="8" t="s">
        <v>37</v>
      </c>
      <c r="C25" s="12" t="s">
        <v>38</v>
      </c>
      <c r="D25" s="13" t="s">
        <v>12</v>
      </c>
      <c r="E25" s="6">
        <f>5.8*5.9</f>
        <v>34.22</v>
      </c>
      <c r="F25" s="40">
        <v>50</v>
      </c>
      <c r="G25" s="37">
        <f>F25*E25</f>
        <v>1711</v>
      </c>
      <c r="H25" s="28"/>
    </row>
    <row r="26" spans="1:8" ht="23.25" customHeight="1">
      <c r="A26" s="4">
        <v>6</v>
      </c>
      <c r="B26" s="7" t="s">
        <v>39</v>
      </c>
      <c r="C26" s="8"/>
      <c r="D26" s="5"/>
      <c r="E26" s="9" t="s">
        <v>40</v>
      </c>
      <c r="F26" s="39"/>
      <c r="G26" s="36">
        <f>SUM(G27:G38)</f>
        <v>19569.4712</v>
      </c>
      <c r="H26" s="28"/>
    </row>
    <row r="27" spans="1:8" ht="28.5" customHeight="1">
      <c r="A27" s="4">
        <v>6.1</v>
      </c>
      <c r="B27" s="8" t="s">
        <v>41</v>
      </c>
      <c r="C27" s="8" t="s">
        <v>42</v>
      </c>
      <c r="D27" s="5" t="s">
        <v>12</v>
      </c>
      <c r="E27" s="6">
        <f>(0.3+0.3)*2*2*6</f>
        <v>14.399999999999999</v>
      </c>
      <c r="F27" s="39">
        <v>110</v>
      </c>
      <c r="G27" s="41">
        <f t="shared" ref="G27:G38" si="1">F27*E27</f>
        <v>1583.9999999999998</v>
      </c>
      <c r="H27" s="28"/>
    </row>
    <row r="28" spans="1:8" ht="47.25" customHeight="1">
      <c r="A28" s="4">
        <v>6.2</v>
      </c>
      <c r="B28" s="8" t="s">
        <v>141</v>
      </c>
      <c r="C28" s="14" t="s">
        <v>144</v>
      </c>
      <c r="D28" s="15" t="s">
        <v>45</v>
      </c>
      <c r="E28" s="6">
        <v>2</v>
      </c>
      <c r="F28" s="39">
        <v>4560</v>
      </c>
      <c r="G28" s="41">
        <f t="shared" si="1"/>
        <v>9120</v>
      </c>
      <c r="H28" s="28"/>
    </row>
    <row r="29" spans="1:8" ht="27" customHeight="1">
      <c r="A29" s="4">
        <v>6.4</v>
      </c>
      <c r="B29" s="14" t="s">
        <v>48</v>
      </c>
      <c r="C29" s="14" t="s">
        <v>49</v>
      </c>
      <c r="D29" s="15" t="s">
        <v>22</v>
      </c>
      <c r="E29" s="16">
        <v>2</v>
      </c>
      <c r="F29" s="42">
        <v>200</v>
      </c>
      <c r="G29" s="41">
        <f t="shared" si="1"/>
        <v>400</v>
      </c>
      <c r="H29" s="28"/>
    </row>
    <row r="30" spans="1:8" ht="123.75" customHeight="1">
      <c r="A30" s="4">
        <v>6.5</v>
      </c>
      <c r="B30" s="8" t="s">
        <v>50</v>
      </c>
      <c r="C30" s="14" t="s">
        <v>51</v>
      </c>
      <c r="D30" s="15" t="s">
        <v>52</v>
      </c>
      <c r="E30" s="16">
        <f>5.9*2+3.4*4+2.5*4</f>
        <v>35.4</v>
      </c>
      <c r="F30" s="42">
        <v>30.86</v>
      </c>
      <c r="G30" s="41">
        <f t="shared" si="1"/>
        <v>1092.444</v>
      </c>
      <c r="H30" s="28"/>
    </row>
    <row r="31" spans="1:8" ht="104.25" customHeight="1">
      <c r="A31" s="17">
        <v>6.6</v>
      </c>
      <c r="B31" s="14" t="s">
        <v>54</v>
      </c>
      <c r="C31" s="14" t="s">
        <v>55</v>
      </c>
      <c r="D31" s="15" t="s">
        <v>12</v>
      </c>
      <c r="E31" s="16">
        <f>(3+3)*(0.32+0.2)*2</f>
        <v>6.24</v>
      </c>
      <c r="F31" s="42">
        <v>178.53</v>
      </c>
      <c r="G31" s="41">
        <f t="shared" si="1"/>
        <v>1114.0272</v>
      </c>
      <c r="H31" s="28"/>
    </row>
    <row r="32" spans="1:8" s="1" customFormat="1" ht="59.25" customHeight="1">
      <c r="A32" s="17">
        <v>6.7</v>
      </c>
      <c r="B32" s="8" t="s">
        <v>56</v>
      </c>
      <c r="C32" s="18" t="s">
        <v>57</v>
      </c>
      <c r="D32" s="19" t="s">
        <v>45</v>
      </c>
      <c r="E32" s="20">
        <v>2</v>
      </c>
      <c r="F32" s="42">
        <v>189.21</v>
      </c>
      <c r="G32" s="41">
        <f t="shared" si="1"/>
        <v>378.42</v>
      </c>
      <c r="H32" s="29"/>
    </row>
    <row r="33" spans="1:237" s="2" customFormat="1" ht="48.75" customHeight="1">
      <c r="A33" s="17">
        <v>6.8</v>
      </c>
      <c r="B33" s="8" t="s">
        <v>58</v>
      </c>
      <c r="C33" s="14" t="s">
        <v>59</v>
      </c>
      <c r="D33" s="15" t="s">
        <v>22</v>
      </c>
      <c r="E33" s="16">
        <v>2</v>
      </c>
      <c r="F33" s="42">
        <v>840.07</v>
      </c>
      <c r="G33" s="41">
        <f t="shared" si="1"/>
        <v>1680.14</v>
      </c>
      <c r="H33" s="30"/>
    </row>
    <row r="34" spans="1:237" s="2" customFormat="1" ht="52.5" customHeight="1">
      <c r="A34" s="17">
        <v>6.9</v>
      </c>
      <c r="B34" s="8" t="s">
        <v>60</v>
      </c>
      <c r="C34" s="14" t="s">
        <v>59</v>
      </c>
      <c r="D34" s="15" t="s">
        <v>22</v>
      </c>
      <c r="E34" s="16">
        <v>4</v>
      </c>
      <c r="F34" s="42">
        <v>840.07</v>
      </c>
      <c r="G34" s="41">
        <f t="shared" si="1"/>
        <v>3360.28</v>
      </c>
      <c r="H34" s="30"/>
    </row>
    <row r="35" spans="1:237" s="3" customFormat="1" ht="93.75" customHeight="1">
      <c r="A35" s="17">
        <v>6.1</v>
      </c>
      <c r="B35" s="21" t="s">
        <v>61</v>
      </c>
      <c r="C35" s="21" t="s">
        <v>62</v>
      </c>
      <c r="D35" s="22" t="s">
        <v>52</v>
      </c>
      <c r="E35" s="23">
        <f>(5.9/2+3.5)*2</f>
        <v>12.9</v>
      </c>
      <c r="F35" s="42">
        <v>28</v>
      </c>
      <c r="G35" s="41">
        <f t="shared" si="1"/>
        <v>361.2</v>
      </c>
      <c r="H35" s="3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</row>
    <row r="36" spans="1:237" ht="44.25" customHeight="1">
      <c r="A36" s="17">
        <v>6.11</v>
      </c>
      <c r="B36" s="14" t="s">
        <v>142</v>
      </c>
      <c r="C36" s="14" t="s">
        <v>143</v>
      </c>
      <c r="D36" s="15" t="s">
        <v>12</v>
      </c>
      <c r="E36" s="16">
        <v>6.3</v>
      </c>
      <c r="F36" s="42">
        <v>70</v>
      </c>
      <c r="G36" s="41">
        <f t="shared" si="1"/>
        <v>441</v>
      </c>
      <c r="H36" s="28"/>
    </row>
    <row r="37" spans="1:237" s="3" customFormat="1" ht="29.25" customHeight="1">
      <c r="A37" s="17">
        <v>6.12</v>
      </c>
      <c r="B37" s="8" t="s">
        <v>71</v>
      </c>
      <c r="C37" s="24"/>
      <c r="D37" s="5" t="s">
        <v>22</v>
      </c>
      <c r="E37" s="25">
        <v>1</v>
      </c>
      <c r="F37" s="43">
        <v>11.96</v>
      </c>
      <c r="G37" s="41">
        <f t="shared" si="1"/>
        <v>11.96</v>
      </c>
      <c r="H37" s="31"/>
    </row>
    <row r="38" spans="1:237" s="3" customFormat="1" ht="29.25" customHeight="1">
      <c r="A38" s="17">
        <v>6.13</v>
      </c>
      <c r="B38" s="8" t="s">
        <v>72</v>
      </c>
      <c r="C38" s="24"/>
      <c r="D38" s="5" t="s">
        <v>22</v>
      </c>
      <c r="E38" s="25">
        <v>2</v>
      </c>
      <c r="F38" s="43">
        <v>13</v>
      </c>
      <c r="G38" s="41">
        <f t="shared" si="1"/>
        <v>26</v>
      </c>
      <c r="H38" s="31"/>
    </row>
    <row r="39" spans="1:237" ht="20.25" customHeight="1">
      <c r="A39" s="4">
        <v>7</v>
      </c>
      <c r="B39" s="7" t="s">
        <v>73</v>
      </c>
      <c r="C39" s="8"/>
      <c r="D39" s="5"/>
      <c r="E39" s="9"/>
      <c r="F39" s="39"/>
      <c r="G39" s="36">
        <f>SUM(G40:G43)</f>
        <v>3139.3820000000001</v>
      </c>
      <c r="H39" s="28"/>
    </row>
    <row r="40" spans="1:237" ht="56.25" customHeight="1">
      <c r="A40" s="4">
        <v>7.1</v>
      </c>
      <c r="B40" s="18" t="s">
        <v>74</v>
      </c>
      <c r="C40" s="18" t="s">
        <v>75</v>
      </c>
      <c r="D40" s="19" t="s">
        <v>52</v>
      </c>
      <c r="E40" s="20">
        <f>5.9+(2.6*3*3)+2*3</f>
        <v>35.300000000000004</v>
      </c>
      <c r="F40" s="42">
        <v>4.08</v>
      </c>
      <c r="G40" s="41">
        <f>F40*E40</f>
        <v>144.02400000000003</v>
      </c>
      <c r="H40" s="28"/>
    </row>
    <row r="41" spans="1:237" ht="56.25" customHeight="1">
      <c r="A41" s="4">
        <v>7.2</v>
      </c>
      <c r="B41" s="18" t="s">
        <v>76</v>
      </c>
      <c r="C41" s="18" t="s">
        <v>77</v>
      </c>
      <c r="D41" s="19" t="s">
        <v>52</v>
      </c>
      <c r="E41" s="20">
        <f>(2.6*3*3)+2*3</f>
        <v>29.400000000000002</v>
      </c>
      <c r="F41" s="42">
        <v>69.569999999999993</v>
      </c>
      <c r="G41" s="41">
        <f>F41*E41</f>
        <v>2045.3579999999999</v>
      </c>
      <c r="H41" s="28"/>
    </row>
    <row r="42" spans="1:237" ht="32.25" customHeight="1">
      <c r="A42" s="4">
        <v>7.3</v>
      </c>
      <c r="B42" s="18" t="s">
        <v>78</v>
      </c>
      <c r="C42" s="18" t="s">
        <v>79</v>
      </c>
      <c r="D42" s="19" t="s">
        <v>22</v>
      </c>
      <c r="E42" s="20">
        <v>9</v>
      </c>
      <c r="F42" s="42">
        <v>50</v>
      </c>
      <c r="G42" s="41">
        <f>F42*E42</f>
        <v>450</v>
      </c>
      <c r="H42" s="28"/>
    </row>
    <row r="43" spans="1:237" s="3" customFormat="1" ht="29.25" customHeight="1">
      <c r="A43" s="17">
        <v>7.4</v>
      </c>
      <c r="B43" s="8" t="s">
        <v>80</v>
      </c>
      <c r="C43" s="24"/>
      <c r="D43" s="5" t="s">
        <v>22</v>
      </c>
      <c r="E43" s="25">
        <v>1</v>
      </c>
      <c r="F43" s="43">
        <v>500</v>
      </c>
      <c r="G43" s="41">
        <f>F43*E43</f>
        <v>500</v>
      </c>
      <c r="H43" s="31"/>
    </row>
    <row r="44" spans="1:237" ht="27" customHeight="1">
      <c r="A44" s="4">
        <v>8</v>
      </c>
      <c r="B44" s="26" t="s">
        <v>81</v>
      </c>
      <c r="C44" s="18"/>
      <c r="D44" s="19"/>
      <c r="E44" s="20"/>
      <c r="F44" s="42"/>
      <c r="G44" s="44">
        <f>G45</f>
        <v>90000</v>
      </c>
      <c r="H44" s="28"/>
    </row>
    <row r="45" spans="1:237" ht="68.25" customHeight="1">
      <c r="A45" s="4">
        <v>8.1</v>
      </c>
      <c r="B45" s="18" t="s">
        <v>81</v>
      </c>
      <c r="C45" s="18" t="s">
        <v>82</v>
      </c>
      <c r="D45" s="19" t="s">
        <v>22</v>
      </c>
      <c r="E45" s="20">
        <v>2</v>
      </c>
      <c r="F45" s="42">
        <v>45000</v>
      </c>
      <c r="G45" s="37">
        <f>F45*E45</f>
        <v>90000</v>
      </c>
      <c r="H45" s="28"/>
    </row>
    <row r="46" spans="1:237" ht="29.25" customHeight="1">
      <c r="A46" s="27">
        <v>9</v>
      </c>
      <c r="B46" s="26" t="s">
        <v>83</v>
      </c>
      <c r="C46" s="18"/>
      <c r="D46" s="19"/>
      <c r="E46" s="20"/>
      <c r="F46" s="42"/>
      <c r="G46" s="38">
        <f>G47</f>
        <v>5000</v>
      </c>
      <c r="H46" s="28"/>
    </row>
    <row r="47" spans="1:237" ht="29.25" customHeight="1">
      <c r="A47" s="4">
        <v>9.1</v>
      </c>
      <c r="B47" s="18" t="s">
        <v>83</v>
      </c>
      <c r="C47" s="18"/>
      <c r="D47" s="19" t="s">
        <v>17</v>
      </c>
      <c r="E47" s="20">
        <v>1</v>
      </c>
      <c r="F47" s="42">
        <v>5000</v>
      </c>
      <c r="G47" s="37">
        <f>F47*E47</f>
        <v>5000</v>
      </c>
      <c r="H47" s="28"/>
    </row>
    <row r="48" spans="1:237" ht="15.75" customHeight="1">
      <c r="A48" s="105" t="s">
        <v>27</v>
      </c>
      <c r="B48" s="106"/>
      <c r="C48" s="106"/>
      <c r="D48" s="106"/>
      <c r="E48" s="106"/>
      <c r="F48" s="45"/>
      <c r="G48" s="46">
        <f>G46+G44+G39+G26+G22+G20+G16+G13+G6</f>
        <v>175702.66579999999</v>
      </c>
      <c r="H48" s="28"/>
    </row>
    <row r="49" spans="1:8" ht="28.5" customHeight="1">
      <c r="A49" s="105" t="s">
        <v>84</v>
      </c>
      <c r="B49" s="106"/>
      <c r="C49" s="106"/>
      <c r="D49" s="106"/>
      <c r="E49" s="106"/>
      <c r="F49" s="45"/>
      <c r="G49" s="46">
        <f>G48*0.09</f>
        <v>15813.239921999999</v>
      </c>
      <c r="H49" s="28"/>
    </row>
    <row r="50" spans="1:8" ht="28.5" customHeight="1">
      <c r="A50" s="107" t="s">
        <v>85</v>
      </c>
      <c r="B50" s="108"/>
      <c r="C50" s="108"/>
      <c r="D50" s="108"/>
      <c r="E50" s="108"/>
      <c r="F50" s="47"/>
      <c r="G50" s="48">
        <f>G48+G49</f>
        <v>191515.905722</v>
      </c>
      <c r="H50" s="32"/>
    </row>
  </sheetData>
  <mergeCells count="14">
    <mergeCell ref="A1:H1"/>
    <mergeCell ref="A2:E2"/>
    <mergeCell ref="F3:G3"/>
    <mergeCell ref="A48:E48"/>
    <mergeCell ref="F4:F5"/>
    <mergeCell ref="G4:G5"/>
    <mergeCell ref="H3:H5"/>
    <mergeCell ref="A49:E49"/>
    <mergeCell ref="A50:E50"/>
    <mergeCell ref="A3:A5"/>
    <mergeCell ref="B3:B5"/>
    <mergeCell ref="C3:C5"/>
    <mergeCell ref="D3:D5"/>
    <mergeCell ref="E3:E5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60"/>
  <sheetViews>
    <sheetView topLeftCell="A19" zoomScale="130" zoomScaleNormal="130" workbookViewId="0">
      <selection activeCell="K60" sqref="K60"/>
    </sheetView>
  </sheetViews>
  <sheetFormatPr defaultColWidth="9" defaultRowHeight="11.25"/>
  <cols>
    <col min="1" max="1" width="7.33203125" customWidth="1"/>
    <col min="2" max="2" width="15.5" customWidth="1"/>
    <col min="3" max="3" width="41.33203125" customWidth="1"/>
    <col min="4" max="4" width="6" customWidth="1"/>
    <col min="5" max="5" width="10.83203125" customWidth="1"/>
    <col min="6" max="6" width="12" style="33" customWidth="1"/>
    <col min="7" max="7" width="13.6640625" style="34" customWidth="1"/>
    <col min="9" max="9" width="11" customWidth="1"/>
    <col min="10" max="10" width="12.33203125" customWidth="1"/>
    <col min="11" max="11" width="10" bestFit="1" customWidth="1"/>
    <col min="12" max="12" width="15.5" customWidth="1"/>
    <col min="13" max="13" width="39.1640625" customWidth="1"/>
    <col min="14" max="14" width="6" customWidth="1"/>
    <col min="15" max="15" width="10.83203125" customWidth="1"/>
    <col min="16" max="16" width="12" style="33" customWidth="1"/>
    <col min="17" max="17" width="13.6640625" style="34" customWidth="1"/>
  </cols>
  <sheetData>
    <row r="1" spans="1:18" ht="25.5">
      <c r="A1" s="111" t="s">
        <v>124</v>
      </c>
      <c r="B1" s="111"/>
      <c r="C1" s="111"/>
      <c r="D1" s="111"/>
      <c r="E1" s="111"/>
      <c r="F1" s="111"/>
      <c r="G1" s="111"/>
      <c r="P1"/>
      <c r="Q1"/>
    </row>
    <row r="2" spans="1:18" ht="15" thickBot="1">
      <c r="A2" s="112" t="s">
        <v>0</v>
      </c>
      <c r="B2" s="112"/>
      <c r="C2" s="112"/>
      <c r="D2" s="112"/>
      <c r="E2" s="112"/>
    </row>
    <row r="3" spans="1:18" ht="12" customHeight="1">
      <c r="A3" s="109" t="s">
        <v>1</v>
      </c>
      <c r="B3" s="110" t="s">
        <v>2</v>
      </c>
      <c r="C3" s="110" t="s">
        <v>3</v>
      </c>
      <c r="D3" s="110" t="s">
        <v>4</v>
      </c>
      <c r="E3" s="110" t="s">
        <v>5</v>
      </c>
      <c r="F3" s="113" t="s">
        <v>6</v>
      </c>
      <c r="G3" s="114"/>
      <c r="H3" s="106" t="s">
        <v>5</v>
      </c>
      <c r="I3" s="119" t="s">
        <v>6</v>
      </c>
      <c r="J3" s="119"/>
      <c r="L3" s="110" t="s">
        <v>2</v>
      </c>
      <c r="M3" s="110" t="s">
        <v>3</v>
      </c>
      <c r="N3" s="110" t="s">
        <v>4</v>
      </c>
      <c r="O3" s="110" t="s">
        <v>5</v>
      </c>
      <c r="P3" s="113" t="s">
        <v>6</v>
      </c>
      <c r="Q3" s="114"/>
      <c r="R3" s="117" t="s">
        <v>7</v>
      </c>
    </row>
    <row r="4" spans="1:18" ht="12" customHeight="1">
      <c r="A4" s="105"/>
      <c r="B4" s="106"/>
      <c r="C4" s="106"/>
      <c r="D4" s="106"/>
      <c r="E4" s="106"/>
      <c r="F4" s="115" t="s">
        <v>125</v>
      </c>
      <c r="G4" s="116" t="s">
        <v>126</v>
      </c>
      <c r="H4" s="106"/>
      <c r="I4" s="115" t="s">
        <v>125</v>
      </c>
      <c r="J4" s="116" t="s">
        <v>126</v>
      </c>
      <c r="L4" s="106"/>
      <c r="M4" s="106"/>
      <c r="N4" s="106"/>
      <c r="O4" s="106"/>
      <c r="P4" s="115" t="s">
        <v>107</v>
      </c>
      <c r="Q4" s="116" t="s">
        <v>108</v>
      </c>
      <c r="R4" s="118"/>
    </row>
    <row r="5" spans="1:18" ht="12" customHeight="1">
      <c r="A5" s="105"/>
      <c r="B5" s="106"/>
      <c r="C5" s="106"/>
      <c r="D5" s="106"/>
      <c r="E5" s="106"/>
      <c r="F5" s="115"/>
      <c r="G5" s="116"/>
      <c r="H5" s="106"/>
      <c r="I5" s="115"/>
      <c r="J5" s="116"/>
      <c r="L5" s="106"/>
      <c r="M5" s="106"/>
      <c r="N5" s="106"/>
      <c r="O5" s="106"/>
      <c r="P5" s="115"/>
      <c r="Q5" s="116"/>
      <c r="R5" s="118"/>
    </row>
    <row r="6" spans="1:18" ht="12">
      <c r="A6" s="63">
        <v>1</v>
      </c>
      <c r="B6" s="7" t="s">
        <v>8</v>
      </c>
      <c r="C6" s="64"/>
      <c r="D6" s="64"/>
      <c r="E6" s="71"/>
      <c r="F6" s="72"/>
      <c r="G6" s="73">
        <f>SUM(G7:G14)</f>
        <v>6389.5732000000007</v>
      </c>
      <c r="H6" s="74"/>
      <c r="I6" s="74"/>
      <c r="J6" s="73">
        <f>SUM(J7:J15)</f>
        <v>5780.1664000000001</v>
      </c>
      <c r="L6" s="7" t="s">
        <v>8</v>
      </c>
      <c r="M6" s="64"/>
      <c r="N6" s="64"/>
      <c r="O6" s="64"/>
      <c r="P6" s="65"/>
      <c r="Q6" s="36">
        <f>SUM(Q7:Q13)</f>
        <v>5842.6664000000001</v>
      </c>
      <c r="R6" s="28"/>
    </row>
    <row r="7" spans="1:18" ht="24">
      <c r="A7" s="63">
        <v>1.1000000000000001</v>
      </c>
      <c r="B7" s="8" t="s">
        <v>9</v>
      </c>
      <c r="C7" s="8" t="s">
        <v>127</v>
      </c>
      <c r="D7" s="64" t="s">
        <v>10</v>
      </c>
      <c r="E7" s="75">
        <f>(7.4+2.1)*4.3*0.2</f>
        <v>8.17</v>
      </c>
      <c r="F7" s="72">
        <v>151.16</v>
      </c>
      <c r="G7" s="76">
        <f t="shared" ref="G7:G14" si="0">F7*E7</f>
        <v>1234.9772</v>
      </c>
      <c r="H7" s="75">
        <f>5.9*4.8*0.2+1.2*2.4*0.2</f>
        <v>6.24</v>
      </c>
      <c r="I7" s="72">
        <v>151.16</v>
      </c>
      <c r="J7" s="76">
        <f>H7*I7</f>
        <v>943.23839999999996</v>
      </c>
      <c r="L7" s="8" t="s">
        <v>9</v>
      </c>
      <c r="M7" s="67" t="s">
        <v>122</v>
      </c>
      <c r="N7" s="64" t="s">
        <v>10</v>
      </c>
      <c r="O7" s="6">
        <f>5.9*4.8*0.2+1.2*2.4*0.2</f>
        <v>6.24</v>
      </c>
      <c r="P7" s="65">
        <v>151.16</v>
      </c>
      <c r="Q7" s="37">
        <f t="shared" ref="Q7:Q13" si="1">P7*O7</f>
        <v>943.23839999999996</v>
      </c>
      <c r="R7" s="28"/>
    </row>
    <row r="8" spans="1:18" ht="12">
      <c r="A8" s="63">
        <v>1.2</v>
      </c>
      <c r="B8" s="8" t="s">
        <v>11</v>
      </c>
      <c r="C8" s="8" t="s">
        <v>128</v>
      </c>
      <c r="D8" s="64" t="s">
        <v>12</v>
      </c>
      <c r="E8" s="75">
        <f>46.43</f>
        <v>46.43</v>
      </c>
      <c r="F8" s="72">
        <v>44.2</v>
      </c>
      <c r="G8" s="76">
        <f t="shared" si="0"/>
        <v>2052.2060000000001</v>
      </c>
      <c r="H8" s="75">
        <f>16.52*2</f>
        <v>33.04</v>
      </c>
      <c r="I8" s="72">
        <v>44.2</v>
      </c>
      <c r="J8" s="76">
        <f t="shared" ref="J8:J19" si="2">H8*I8</f>
        <v>1460.3680000000002</v>
      </c>
      <c r="L8" s="8" t="s">
        <v>11</v>
      </c>
      <c r="M8" s="8" t="s">
        <v>109</v>
      </c>
      <c r="N8" s="64" t="s">
        <v>12</v>
      </c>
      <c r="O8" s="6">
        <f>16.52*2</f>
        <v>33.04</v>
      </c>
      <c r="P8" s="65">
        <v>44.2</v>
      </c>
      <c r="Q8" s="37">
        <f t="shared" si="1"/>
        <v>1460.3680000000002</v>
      </c>
      <c r="R8" s="28"/>
    </row>
    <row r="9" spans="1:18" ht="12">
      <c r="A9" s="63">
        <v>1.3</v>
      </c>
      <c r="B9" s="8" t="s">
        <v>13</v>
      </c>
      <c r="C9" s="8" t="s">
        <v>14</v>
      </c>
      <c r="D9" s="64" t="s">
        <v>12</v>
      </c>
      <c r="E9" s="75">
        <f>46.43-10.92</f>
        <v>35.51</v>
      </c>
      <c r="F9" s="72">
        <v>39</v>
      </c>
      <c r="G9" s="76">
        <f t="shared" si="0"/>
        <v>1384.8899999999999</v>
      </c>
      <c r="H9" s="75">
        <f>16.52*2</f>
        <v>33.04</v>
      </c>
      <c r="I9" s="72">
        <v>39</v>
      </c>
      <c r="J9" s="76">
        <f t="shared" si="2"/>
        <v>1288.56</v>
      </c>
      <c r="L9" s="8" t="s">
        <v>13</v>
      </c>
      <c r="M9" s="8" t="s">
        <v>14</v>
      </c>
      <c r="N9" s="64" t="s">
        <v>12</v>
      </c>
      <c r="O9" s="6">
        <f>16.52*2</f>
        <v>33.04</v>
      </c>
      <c r="P9" s="65">
        <v>39</v>
      </c>
      <c r="Q9" s="37">
        <f t="shared" si="1"/>
        <v>1288.56</v>
      </c>
      <c r="R9" s="28"/>
    </row>
    <row r="10" spans="1:18" ht="12">
      <c r="A10" s="63">
        <v>1.4</v>
      </c>
      <c r="B10" s="8" t="s">
        <v>15</v>
      </c>
      <c r="C10" s="8" t="s">
        <v>16</v>
      </c>
      <c r="D10" s="64" t="s">
        <v>17</v>
      </c>
      <c r="E10" s="75">
        <v>1</v>
      </c>
      <c r="F10" s="72">
        <v>1500</v>
      </c>
      <c r="G10" s="76">
        <f t="shared" si="0"/>
        <v>1500</v>
      </c>
      <c r="H10" s="75">
        <v>1</v>
      </c>
      <c r="I10" s="72">
        <v>1500</v>
      </c>
      <c r="J10" s="76">
        <f t="shared" si="2"/>
        <v>1500</v>
      </c>
      <c r="L10" s="8" t="s">
        <v>15</v>
      </c>
      <c r="M10" s="8" t="s">
        <v>16</v>
      </c>
      <c r="N10" s="64" t="s">
        <v>17</v>
      </c>
      <c r="O10" s="6">
        <v>1</v>
      </c>
      <c r="P10" s="65">
        <v>1500</v>
      </c>
      <c r="Q10" s="37">
        <f t="shared" si="1"/>
        <v>1500</v>
      </c>
      <c r="R10" s="28"/>
    </row>
    <row r="11" spans="1:18" ht="12">
      <c r="A11" s="63">
        <v>1.5</v>
      </c>
      <c r="B11" s="8" t="s">
        <v>18</v>
      </c>
      <c r="C11" s="8" t="s">
        <v>19</v>
      </c>
      <c r="D11" s="64" t="s">
        <v>12</v>
      </c>
      <c r="E11" s="75">
        <v>1.25</v>
      </c>
      <c r="F11" s="72">
        <v>50</v>
      </c>
      <c r="G11" s="76">
        <f t="shared" si="0"/>
        <v>62.5</v>
      </c>
      <c r="H11" s="75"/>
      <c r="I11" s="72"/>
      <c r="J11" s="76">
        <f t="shared" si="2"/>
        <v>0</v>
      </c>
      <c r="L11" s="8" t="s">
        <v>18</v>
      </c>
      <c r="M11" s="8" t="s">
        <v>19</v>
      </c>
      <c r="N11" s="64" t="s">
        <v>12</v>
      </c>
      <c r="O11" s="6">
        <v>1.25</v>
      </c>
      <c r="P11" s="65">
        <v>50</v>
      </c>
      <c r="Q11" s="37">
        <f t="shared" si="1"/>
        <v>62.5</v>
      </c>
      <c r="R11" s="28"/>
    </row>
    <row r="12" spans="1:18" ht="24">
      <c r="A12" s="63">
        <v>1.6</v>
      </c>
      <c r="B12" s="8" t="s">
        <v>20</v>
      </c>
      <c r="C12" s="8" t="s">
        <v>21</v>
      </c>
      <c r="D12" s="64" t="s">
        <v>22</v>
      </c>
      <c r="E12" s="75">
        <v>1</v>
      </c>
      <c r="F12" s="72">
        <v>50</v>
      </c>
      <c r="G12" s="76">
        <f t="shared" si="0"/>
        <v>50</v>
      </c>
      <c r="H12" s="75">
        <v>6</v>
      </c>
      <c r="I12" s="72">
        <v>50</v>
      </c>
      <c r="J12" s="76">
        <f t="shared" si="2"/>
        <v>300</v>
      </c>
      <c r="L12" s="8" t="s">
        <v>110</v>
      </c>
      <c r="M12" s="8" t="s">
        <v>111</v>
      </c>
      <c r="N12" s="64" t="s">
        <v>112</v>
      </c>
      <c r="O12" s="6">
        <f>1*2.4*2</f>
        <v>4.8</v>
      </c>
      <c r="P12" s="65">
        <v>60</v>
      </c>
      <c r="Q12" s="37">
        <f t="shared" si="1"/>
        <v>288</v>
      </c>
      <c r="R12" s="28"/>
    </row>
    <row r="13" spans="1:18" ht="12">
      <c r="A13" s="63">
        <v>1.7</v>
      </c>
      <c r="B13" s="8" t="s">
        <v>129</v>
      </c>
      <c r="C13" s="8" t="s">
        <v>21</v>
      </c>
      <c r="D13" s="64" t="s">
        <v>22</v>
      </c>
      <c r="E13" s="75">
        <v>1</v>
      </c>
      <c r="F13" s="72">
        <v>30</v>
      </c>
      <c r="G13" s="76">
        <f t="shared" si="0"/>
        <v>30</v>
      </c>
      <c r="H13" s="74"/>
      <c r="I13" s="74"/>
      <c r="J13" s="76">
        <f t="shared" si="2"/>
        <v>0</v>
      </c>
      <c r="L13" s="8" t="s">
        <v>20</v>
      </c>
      <c r="M13" s="8" t="s">
        <v>21</v>
      </c>
      <c r="N13" s="64" t="s">
        <v>22</v>
      </c>
      <c r="O13" s="6">
        <v>6</v>
      </c>
      <c r="P13" s="65">
        <v>50</v>
      </c>
      <c r="Q13" s="37">
        <f t="shared" si="1"/>
        <v>300</v>
      </c>
      <c r="R13" s="28"/>
    </row>
    <row r="14" spans="1:18" ht="12">
      <c r="A14" s="63">
        <v>1.8</v>
      </c>
      <c r="B14" s="8" t="s">
        <v>130</v>
      </c>
      <c r="C14" s="8" t="s">
        <v>21</v>
      </c>
      <c r="D14" s="64" t="s">
        <v>22</v>
      </c>
      <c r="E14" s="75">
        <v>1</v>
      </c>
      <c r="F14" s="72">
        <v>75</v>
      </c>
      <c r="G14" s="76">
        <f t="shared" si="0"/>
        <v>75</v>
      </c>
      <c r="H14" s="74"/>
      <c r="I14" s="74"/>
      <c r="J14" s="76">
        <f t="shared" si="2"/>
        <v>0</v>
      </c>
      <c r="L14" s="7" t="s">
        <v>23</v>
      </c>
      <c r="M14" s="64"/>
      <c r="N14" s="64"/>
      <c r="O14" s="6"/>
      <c r="P14" s="65"/>
      <c r="Q14" s="38">
        <f>SUM(Q16:Q17)</f>
        <v>2942.4</v>
      </c>
      <c r="R14" s="28"/>
    </row>
    <row r="15" spans="1:18" ht="24">
      <c r="A15" s="63">
        <v>1.9</v>
      </c>
      <c r="B15" s="8" t="s">
        <v>110</v>
      </c>
      <c r="C15" s="8" t="s">
        <v>111</v>
      </c>
      <c r="D15" s="64"/>
      <c r="E15" s="75"/>
      <c r="F15" s="72"/>
      <c r="G15" s="76"/>
      <c r="H15" s="76">
        <f>1*2.4*2</f>
        <v>4.8</v>
      </c>
      <c r="I15" s="76">
        <v>60</v>
      </c>
      <c r="J15" s="76">
        <f t="shared" si="2"/>
        <v>288</v>
      </c>
      <c r="L15" s="7"/>
      <c r="M15" s="64"/>
      <c r="N15" s="64"/>
      <c r="O15" s="6"/>
      <c r="P15" s="65"/>
      <c r="Q15" s="38"/>
      <c r="R15" s="28"/>
    </row>
    <row r="16" spans="1:18" ht="36">
      <c r="A16" s="63">
        <v>2</v>
      </c>
      <c r="B16" s="7" t="s">
        <v>23</v>
      </c>
      <c r="C16" s="64"/>
      <c r="D16" s="64"/>
      <c r="E16" s="75"/>
      <c r="F16" s="72"/>
      <c r="G16" s="77">
        <f>G17+G18</f>
        <v>2602.3875000000003</v>
      </c>
      <c r="H16" s="74"/>
      <c r="I16" s="74"/>
      <c r="J16" s="77">
        <f>SUM(J17:J19)</f>
        <v>2942.4</v>
      </c>
      <c r="L16" s="8" t="s">
        <v>24</v>
      </c>
      <c r="M16" s="8" t="s">
        <v>25</v>
      </c>
      <c r="N16" s="64" t="s">
        <v>12</v>
      </c>
      <c r="O16" s="6">
        <f>1.2*2.4</f>
        <v>2.88</v>
      </c>
      <c r="P16" s="65">
        <v>780</v>
      </c>
      <c r="Q16" s="37">
        <f>P16*O16</f>
        <v>2246.4</v>
      </c>
      <c r="R16" s="28"/>
    </row>
    <row r="17" spans="1:18" ht="36">
      <c r="A17" s="63">
        <v>2.1</v>
      </c>
      <c r="B17" s="8" t="s">
        <v>24</v>
      </c>
      <c r="C17" s="8" t="s">
        <v>25</v>
      </c>
      <c r="D17" s="64" t="s">
        <v>12</v>
      </c>
      <c r="E17" s="75">
        <f>1.2*2.4</f>
        <v>2.88</v>
      </c>
      <c r="F17" s="72">
        <v>780</v>
      </c>
      <c r="G17" s="76">
        <f>F17*E17</f>
        <v>2246.4</v>
      </c>
      <c r="H17" s="75">
        <f>1.2*2.4</f>
        <v>2.88</v>
      </c>
      <c r="I17" s="72">
        <v>780</v>
      </c>
      <c r="J17" s="76">
        <f t="shared" si="2"/>
        <v>2246.4</v>
      </c>
      <c r="L17" s="8" t="s">
        <v>118</v>
      </c>
      <c r="M17" s="8" t="s">
        <v>119</v>
      </c>
      <c r="N17" s="64" t="s">
        <v>12</v>
      </c>
      <c r="O17" s="6">
        <f>5.8*4.8</f>
        <v>27.84</v>
      </c>
      <c r="P17" s="65">
        <v>25</v>
      </c>
      <c r="Q17" s="37">
        <f>P17*O17</f>
        <v>696</v>
      </c>
      <c r="R17" s="28"/>
    </row>
    <row r="18" spans="1:18" ht="12">
      <c r="A18" s="63">
        <v>2.2000000000000002</v>
      </c>
      <c r="B18" s="8" t="s">
        <v>131</v>
      </c>
      <c r="C18" s="8" t="s">
        <v>132</v>
      </c>
      <c r="D18" s="64" t="s">
        <v>12</v>
      </c>
      <c r="E18" s="75">
        <v>1.25</v>
      </c>
      <c r="F18" s="72">
        <v>284.79000000000002</v>
      </c>
      <c r="G18" s="76">
        <f>F18*E18</f>
        <v>355.98750000000001</v>
      </c>
      <c r="H18" s="74"/>
      <c r="I18" s="74"/>
      <c r="J18" s="74"/>
      <c r="L18" s="7" t="s">
        <v>120</v>
      </c>
      <c r="M18" s="8"/>
      <c r="N18" s="64"/>
      <c r="O18" s="9" t="s">
        <v>27</v>
      </c>
      <c r="P18" s="39"/>
      <c r="Q18" s="36">
        <f>SUM(Q20:Q24)</f>
        <v>39469.008000000002</v>
      </c>
      <c r="R18" s="28"/>
    </row>
    <row r="19" spans="1:18" ht="24">
      <c r="A19" s="63">
        <v>2.2999999999999998</v>
      </c>
      <c r="B19" s="8" t="s">
        <v>118</v>
      </c>
      <c r="C19" s="8" t="s">
        <v>119</v>
      </c>
      <c r="D19" s="64"/>
      <c r="E19" s="75"/>
      <c r="F19" s="72"/>
      <c r="G19" s="76"/>
      <c r="H19" s="75">
        <f>5.8*4.8</f>
        <v>27.84</v>
      </c>
      <c r="I19" s="72">
        <v>25</v>
      </c>
      <c r="J19" s="76">
        <f t="shared" si="2"/>
        <v>696</v>
      </c>
      <c r="L19" s="7"/>
      <c r="M19" s="8"/>
      <c r="N19" s="64"/>
      <c r="O19" s="9"/>
      <c r="P19" s="39"/>
      <c r="Q19" s="36"/>
      <c r="R19" s="28"/>
    </row>
    <row r="20" spans="1:18" ht="48">
      <c r="A20" s="63">
        <v>3</v>
      </c>
      <c r="B20" s="7" t="s">
        <v>26</v>
      </c>
      <c r="C20" s="8"/>
      <c r="D20" s="64"/>
      <c r="E20" s="78" t="s">
        <v>27</v>
      </c>
      <c r="F20" s="79"/>
      <c r="G20" s="73">
        <f>G21</f>
        <v>41646.867000000006</v>
      </c>
      <c r="H20" s="74"/>
      <c r="I20" s="74"/>
      <c r="J20" s="77">
        <f>SUM(J21:J23)</f>
        <v>38173.008000000002</v>
      </c>
      <c r="L20" s="8" t="s">
        <v>28</v>
      </c>
      <c r="M20" s="8" t="s">
        <v>116</v>
      </c>
      <c r="N20" s="64" t="s">
        <v>12</v>
      </c>
      <c r="O20" s="6">
        <f>23*4.8</f>
        <v>110.39999999999999</v>
      </c>
      <c r="P20" s="40">
        <v>303.77</v>
      </c>
      <c r="Q20" s="37">
        <f>P20*O20</f>
        <v>33536.207999999999</v>
      </c>
      <c r="R20" s="28"/>
    </row>
    <row r="21" spans="1:18" ht="48">
      <c r="A21" s="63">
        <v>3.1</v>
      </c>
      <c r="B21" s="8" t="s">
        <v>28</v>
      </c>
      <c r="C21" s="8" t="s">
        <v>133</v>
      </c>
      <c r="D21" s="64" t="s">
        <v>12</v>
      </c>
      <c r="E21" s="75">
        <f>27.42*5</f>
        <v>137.10000000000002</v>
      </c>
      <c r="F21" s="80">
        <v>303.77</v>
      </c>
      <c r="G21" s="76">
        <f>F21*E21</f>
        <v>41646.867000000006</v>
      </c>
      <c r="H21" s="75">
        <f>23*4.8</f>
        <v>110.39999999999999</v>
      </c>
      <c r="I21" s="80">
        <v>303.77</v>
      </c>
      <c r="J21" s="76">
        <f t="shared" ref="J21:J57" si="3">H21*I21</f>
        <v>33536.207999999999</v>
      </c>
      <c r="L21" s="8" t="s">
        <v>113</v>
      </c>
      <c r="M21" s="8" t="s">
        <v>117</v>
      </c>
      <c r="N21" s="64" t="s">
        <v>12</v>
      </c>
      <c r="O21" s="6">
        <f>7.8*4.8*0.2</f>
        <v>7.4879999999999995</v>
      </c>
      <c r="P21" s="40">
        <v>600</v>
      </c>
      <c r="Q21" s="37">
        <f>P21*O21</f>
        <v>4492.7999999999993</v>
      </c>
      <c r="R21" s="28"/>
    </row>
    <row r="22" spans="1:18" ht="24">
      <c r="A22" s="63"/>
      <c r="B22" s="8" t="s">
        <v>113</v>
      </c>
      <c r="C22" s="8" t="s">
        <v>117</v>
      </c>
      <c r="D22" s="64"/>
      <c r="E22" s="75"/>
      <c r="F22" s="80"/>
      <c r="G22" s="76"/>
      <c r="H22" s="75">
        <v>6.5280000000000005</v>
      </c>
      <c r="I22" s="80">
        <v>600</v>
      </c>
      <c r="J22" s="76">
        <f t="shared" si="3"/>
        <v>3916.8</v>
      </c>
      <c r="L22" s="8"/>
      <c r="M22" s="8"/>
      <c r="N22" s="64"/>
      <c r="O22" s="6"/>
      <c r="P22" s="40"/>
      <c r="Q22" s="37"/>
      <c r="R22" s="28"/>
    </row>
    <row r="23" spans="1:18" ht="24">
      <c r="A23" s="63"/>
      <c r="B23" s="8" t="s">
        <v>121</v>
      </c>
      <c r="C23" s="8" t="s">
        <v>123</v>
      </c>
      <c r="D23" s="64"/>
      <c r="E23" s="75"/>
      <c r="F23" s="80"/>
      <c r="G23" s="76"/>
      <c r="H23" s="75">
        <v>4.8</v>
      </c>
      <c r="I23" s="80">
        <v>150</v>
      </c>
      <c r="J23" s="76">
        <f t="shared" si="3"/>
        <v>720</v>
      </c>
      <c r="L23" s="8"/>
      <c r="M23" s="8"/>
      <c r="N23" s="64"/>
      <c r="O23" s="6"/>
      <c r="P23" s="40"/>
      <c r="Q23" s="37"/>
      <c r="R23" s="28"/>
    </row>
    <row r="24" spans="1:18" ht="24">
      <c r="A24" s="63">
        <v>4</v>
      </c>
      <c r="B24" s="7" t="s">
        <v>29</v>
      </c>
      <c r="C24" s="8"/>
      <c r="D24" s="64"/>
      <c r="E24" s="78" t="s">
        <v>30</v>
      </c>
      <c r="F24" s="79" t="s">
        <v>27</v>
      </c>
      <c r="G24" s="73">
        <f>G25</f>
        <v>5138.5599999999995</v>
      </c>
      <c r="H24" s="74"/>
      <c r="I24" s="74"/>
      <c r="J24" s="73">
        <f>J25</f>
        <v>5181.1912000000002</v>
      </c>
      <c r="L24" s="8" t="s">
        <v>121</v>
      </c>
      <c r="M24" s="8" t="s">
        <v>123</v>
      </c>
      <c r="N24" s="64" t="s">
        <v>12</v>
      </c>
      <c r="O24" s="6">
        <f>1*2.4*2*2</f>
        <v>9.6</v>
      </c>
      <c r="P24" s="40">
        <v>150</v>
      </c>
      <c r="Q24" s="37">
        <f>P24*O24</f>
        <v>1440</v>
      </c>
      <c r="R24" s="28"/>
    </row>
    <row r="25" spans="1:18" ht="36">
      <c r="A25" s="63">
        <v>3.1</v>
      </c>
      <c r="B25" s="8" t="s">
        <v>31</v>
      </c>
      <c r="C25" s="10" t="s">
        <v>134</v>
      </c>
      <c r="D25" s="64" t="s">
        <v>32</v>
      </c>
      <c r="E25" s="75">
        <f>2.8*7.4</f>
        <v>20.72</v>
      </c>
      <c r="F25" s="81">
        <v>248</v>
      </c>
      <c r="G25" s="82">
        <f>F25*E25</f>
        <v>5138.5599999999995</v>
      </c>
      <c r="H25" s="6">
        <f>(5.8-2.259)*5.9</f>
        <v>20.8919</v>
      </c>
      <c r="I25" s="11">
        <v>248</v>
      </c>
      <c r="J25" s="76">
        <f t="shared" si="3"/>
        <v>5181.1912000000002</v>
      </c>
      <c r="L25" s="7" t="s">
        <v>29</v>
      </c>
      <c r="M25" s="8"/>
      <c r="N25" s="64"/>
      <c r="O25" s="9" t="s">
        <v>30</v>
      </c>
      <c r="P25" s="39" t="s">
        <v>27</v>
      </c>
      <c r="Q25" s="36">
        <f>Q26</f>
        <v>5181.1912000000002</v>
      </c>
      <c r="R25" s="28"/>
    </row>
    <row r="26" spans="1:18" ht="36">
      <c r="A26" s="63">
        <v>5</v>
      </c>
      <c r="B26" s="7" t="s">
        <v>33</v>
      </c>
      <c r="C26" s="8"/>
      <c r="D26" s="64"/>
      <c r="E26" s="78"/>
      <c r="F26" s="79"/>
      <c r="G26" s="73">
        <f>G27+G28+G29</f>
        <v>7568.75</v>
      </c>
      <c r="H26" s="74"/>
      <c r="I26" s="74"/>
      <c r="J26" s="73">
        <f>J27+J28+J29</f>
        <v>6309.0470000000005</v>
      </c>
      <c r="L26" s="8" t="s">
        <v>31</v>
      </c>
      <c r="M26" s="10" t="s">
        <v>114</v>
      </c>
      <c r="N26" s="64" t="s">
        <v>32</v>
      </c>
      <c r="O26" s="6">
        <f>(5.8-2.259)*5.9</f>
        <v>20.8919</v>
      </c>
      <c r="P26" s="11">
        <v>248</v>
      </c>
      <c r="Q26" s="66">
        <f>P26*O26</f>
        <v>5181.1912000000002</v>
      </c>
      <c r="R26" s="28"/>
    </row>
    <row r="27" spans="1:18" ht="36">
      <c r="A27" s="63">
        <v>5.0999999999999996</v>
      </c>
      <c r="B27" s="8" t="s">
        <v>34</v>
      </c>
      <c r="C27" s="12" t="s">
        <v>35</v>
      </c>
      <c r="D27" s="64" t="s">
        <v>12</v>
      </c>
      <c r="E27" s="75">
        <f>46.43</f>
        <v>46.43</v>
      </c>
      <c r="F27" s="80">
        <v>55</v>
      </c>
      <c r="G27" s="76">
        <f>F27*E27</f>
        <v>2553.65</v>
      </c>
      <c r="H27" s="6">
        <f>5.8*5.9</f>
        <v>34.22</v>
      </c>
      <c r="I27" s="40">
        <v>55</v>
      </c>
      <c r="J27" s="76">
        <f t="shared" si="3"/>
        <v>1882.1</v>
      </c>
      <c r="L27" s="7" t="s">
        <v>33</v>
      </c>
      <c r="M27" s="8"/>
      <c r="N27" s="64"/>
      <c r="O27" s="9"/>
      <c r="P27" s="39"/>
      <c r="Q27" s="36">
        <f>Q28+Q29+Q30</f>
        <v>8041.6999999999989</v>
      </c>
      <c r="R27" s="28"/>
    </row>
    <row r="28" spans="1:18" ht="36">
      <c r="A28" s="63">
        <v>5.2</v>
      </c>
      <c r="B28" s="8" t="s">
        <v>36</v>
      </c>
      <c r="C28" s="12" t="s">
        <v>135</v>
      </c>
      <c r="D28" s="13" t="s">
        <v>12</v>
      </c>
      <c r="E28" s="75">
        <f>2.8*7.4</f>
        <v>20.72</v>
      </c>
      <c r="F28" s="80">
        <v>130</v>
      </c>
      <c r="G28" s="76">
        <f>F28*E28</f>
        <v>2693.6</v>
      </c>
      <c r="H28" s="6">
        <v>20.8919</v>
      </c>
      <c r="I28" s="40">
        <v>130</v>
      </c>
      <c r="J28" s="76">
        <f t="shared" si="3"/>
        <v>2715.9470000000001</v>
      </c>
      <c r="L28" s="8" t="s">
        <v>34</v>
      </c>
      <c r="M28" s="12" t="s">
        <v>35</v>
      </c>
      <c r="N28" s="64" t="s">
        <v>12</v>
      </c>
      <c r="O28" s="6">
        <f>5.8*5.9</f>
        <v>34.22</v>
      </c>
      <c r="P28" s="40">
        <v>55</v>
      </c>
      <c r="Q28" s="37">
        <f>P28*O28</f>
        <v>1882.1</v>
      </c>
      <c r="R28" s="28"/>
    </row>
    <row r="29" spans="1:18" ht="24">
      <c r="A29" s="63">
        <v>5.3</v>
      </c>
      <c r="B29" s="8" t="s">
        <v>37</v>
      </c>
      <c r="C29" s="12" t="s">
        <v>38</v>
      </c>
      <c r="D29" s="13" t="s">
        <v>12</v>
      </c>
      <c r="E29" s="75">
        <f>46.43</f>
        <v>46.43</v>
      </c>
      <c r="F29" s="80">
        <v>50</v>
      </c>
      <c r="G29" s="76">
        <f>F29*E29</f>
        <v>2321.5</v>
      </c>
      <c r="H29" s="6">
        <f>5.8*5.9</f>
        <v>34.22</v>
      </c>
      <c r="I29" s="40">
        <v>50</v>
      </c>
      <c r="J29" s="76">
        <f t="shared" si="3"/>
        <v>1711</v>
      </c>
      <c r="L29" s="8" t="s">
        <v>36</v>
      </c>
      <c r="M29" s="12" t="s">
        <v>115</v>
      </c>
      <c r="N29" s="13" t="s">
        <v>12</v>
      </c>
      <c r="O29" s="6">
        <f>5.8*5.9</f>
        <v>34.22</v>
      </c>
      <c r="P29" s="40">
        <v>130</v>
      </c>
      <c r="Q29" s="37">
        <f>P29*O29</f>
        <v>4448.5999999999995</v>
      </c>
      <c r="R29" s="28"/>
    </row>
    <row r="30" spans="1:18" ht="13.5">
      <c r="A30" s="63">
        <v>6</v>
      </c>
      <c r="B30" s="7" t="s">
        <v>39</v>
      </c>
      <c r="C30" s="8"/>
      <c r="D30" s="64"/>
      <c r="E30" s="78" t="s">
        <v>40</v>
      </c>
      <c r="F30" s="79"/>
      <c r="G30" s="73">
        <f>SUM(G31:G48)</f>
        <v>29330.534599999995</v>
      </c>
      <c r="H30" s="74"/>
      <c r="I30" s="74"/>
      <c r="J30" s="73">
        <f>SUM(J31:J48)</f>
        <v>25593.622599999995</v>
      </c>
      <c r="L30" s="8" t="s">
        <v>37</v>
      </c>
      <c r="M30" s="12" t="s">
        <v>38</v>
      </c>
      <c r="N30" s="13" t="s">
        <v>12</v>
      </c>
      <c r="O30" s="6">
        <f>5.8*5.9</f>
        <v>34.22</v>
      </c>
      <c r="P30" s="40">
        <v>50</v>
      </c>
      <c r="Q30" s="37">
        <f>P30*O30</f>
        <v>1711</v>
      </c>
      <c r="R30" s="28"/>
    </row>
    <row r="31" spans="1:18" ht="24">
      <c r="A31" s="63">
        <v>6.1</v>
      </c>
      <c r="B31" s="8" t="s">
        <v>41</v>
      </c>
      <c r="C31" s="8" t="s">
        <v>42</v>
      </c>
      <c r="D31" s="64" t="s">
        <v>12</v>
      </c>
      <c r="E31" s="75">
        <f>(0.3+0.3)*2*2*6</f>
        <v>14.399999999999999</v>
      </c>
      <c r="F31" s="79">
        <v>110</v>
      </c>
      <c r="G31" s="82">
        <f t="shared" ref="G31:G48" si="4">F31*E31</f>
        <v>1583.9999999999998</v>
      </c>
      <c r="H31" s="6">
        <f>(0.3+0.3)*2*2*6</f>
        <v>14.399999999999999</v>
      </c>
      <c r="I31" s="39">
        <v>110</v>
      </c>
      <c r="J31" s="76">
        <f t="shared" si="3"/>
        <v>1583.9999999999998</v>
      </c>
      <c r="L31" s="7" t="s">
        <v>39</v>
      </c>
      <c r="M31" s="8"/>
      <c r="N31" s="64"/>
      <c r="O31" s="9" t="s">
        <v>40</v>
      </c>
      <c r="P31" s="39"/>
      <c r="Q31" s="36">
        <f>SUM(Q32:Q48)</f>
        <v>26113.622599999995</v>
      </c>
      <c r="R31" s="28"/>
    </row>
    <row r="32" spans="1:18" ht="36">
      <c r="A32" s="63">
        <v>6.2</v>
      </c>
      <c r="B32" s="8" t="s">
        <v>43</v>
      </c>
      <c r="C32" s="14" t="s">
        <v>44</v>
      </c>
      <c r="D32" s="15" t="s">
        <v>45</v>
      </c>
      <c r="E32" s="75">
        <v>2</v>
      </c>
      <c r="F32" s="79">
        <v>4560</v>
      </c>
      <c r="G32" s="82">
        <f t="shared" si="4"/>
        <v>9120</v>
      </c>
      <c r="H32" s="6">
        <v>2</v>
      </c>
      <c r="I32" s="39">
        <v>4560</v>
      </c>
      <c r="J32" s="76">
        <f t="shared" si="3"/>
        <v>9120</v>
      </c>
      <c r="L32" s="8" t="s">
        <v>41</v>
      </c>
      <c r="M32" s="8" t="s">
        <v>42</v>
      </c>
      <c r="N32" s="64" t="s">
        <v>12</v>
      </c>
      <c r="O32" s="6">
        <f>(0.3+0.3)*2*2*6</f>
        <v>14.399999999999999</v>
      </c>
      <c r="P32" s="39">
        <v>110</v>
      </c>
      <c r="Q32" s="66">
        <f t="shared" ref="Q32:Q48" si="5">P32*O32</f>
        <v>1583.9999999999998</v>
      </c>
      <c r="R32" s="28"/>
    </row>
    <row r="33" spans="1:235" ht="36">
      <c r="A33" s="63">
        <v>6.3</v>
      </c>
      <c r="B33" s="8" t="s">
        <v>46</v>
      </c>
      <c r="C33" s="14" t="s">
        <v>47</v>
      </c>
      <c r="D33" s="15" t="s">
        <v>45</v>
      </c>
      <c r="E33" s="75">
        <v>1</v>
      </c>
      <c r="F33" s="79">
        <f>5800-200-32*8</f>
        <v>5344</v>
      </c>
      <c r="G33" s="82">
        <f t="shared" si="4"/>
        <v>5344</v>
      </c>
      <c r="H33" s="6">
        <v>1</v>
      </c>
      <c r="I33" s="39">
        <f>5800-200-32*8</f>
        <v>5344</v>
      </c>
      <c r="J33" s="76">
        <f t="shared" si="3"/>
        <v>5344</v>
      </c>
      <c r="L33" s="8" t="s">
        <v>43</v>
      </c>
      <c r="M33" s="14" t="s">
        <v>44</v>
      </c>
      <c r="N33" s="15" t="s">
        <v>45</v>
      </c>
      <c r="O33" s="6">
        <v>2</v>
      </c>
      <c r="P33" s="39">
        <v>4560</v>
      </c>
      <c r="Q33" s="66">
        <f t="shared" si="5"/>
        <v>9120</v>
      </c>
      <c r="R33" s="28"/>
    </row>
    <row r="34" spans="1:235" ht="24">
      <c r="A34" s="63">
        <v>6.4</v>
      </c>
      <c r="B34" s="14" t="s">
        <v>48</v>
      </c>
      <c r="C34" s="14" t="s">
        <v>49</v>
      </c>
      <c r="D34" s="15" t="s">
        <v>22</v>
      </c>
      <c r="E34" s="83">
        <v>3</v>
      </c>
      <c r="F34" s="84">
        <v>200</v>
      </c>
      <c r="G34" s="82">
        <f t="shared" si="4"/>
        <v>600</v>
      </c>
      <c r="H34" s="16">
        <v>3</v>
      </c>
      <c r="I34" s="42">
        <v>200</v>
      </c>
      <c r="J34" s="76">
        <f t="shared" si="3"/>
        <v>600</v>
      </c>
      <c r="L34" s="8" t="s">
        <v>46</v>
      </c>
      <c r="M34" s="14" t="s">
        <v>47</v>
      </c>
      <c r="N34" s="15" t="s">
        <v>45</v>
      </c>
      <c r="O34" s="6">
        <v>1</v>
      </c>
      <c r="P34" s="39">
        <f>5800-200-32*8</f>
        <v>5344</v>
      </c>
      <c r="Q34" s="66">
        <f t="shared" si="5"/>
        <v>5344</v>
      </c>
      <c r="R34" s="28"/>
    </row>
    <row r="35" spans="1:235" ht="120">
      <c r="A35" s="63">
        <v>6.5</v>
      </c>
      <c r="B35" s="8" t="s">
        <v>50</v>
      </c>
      <c r="C35" s="14" t="s">
        <v>51</v>
      </c>
      <c r="D35" s="15" t="s">
        <v>52</v>
      </c>
      <c r="E35" s="83">
        <f>(9.6+2.9+4.2+3+1)*4</f>
        <v>82.8</v>
      </c>
      <c r="F35" s="84">
        <v>30.86</v>
      </c>
      <c r="G35" s="82">
        <f t="shared" si="4"/>
        <v>2555.2080000000001</v>
      </c>
      <c r="H35" s="16">
        <f>(5.9)*4</f>
        <v>23.6</v>
      </c>
      <c r="I35" s="42">
        <v>30.86</v>
      </c>
      <c r="J35" s="76">
        <f t="shared" si="3"/>
        <v>728.29600000000005</v>
      </c>
      <c r="L35" s="14" t="s">
        <v>48</v>
      </c>
      <c r="M35" s="14" t="s">
        <v>49</v>
      </c>
      <c r="N35" s="15" t="s">
        <v>22</v>
      </c>
      <c r="O35" s="16">
        <v>3</v>
      </c>
      <c r="P35" s="42">
        <v>200</v>
      </c>
      <c r="Q35" s="66">
        <f t="shared" si="5"/>
        <v>600</v>
      </c>
      <c r="R35" s="28"/>
    </row>
    <row r="36" spans="1:235" ht="120">
      <c r="A36" s="63">
        <v>6.6</v>
      </c>
      <c r="B36" s="8" t="s">
        <v>50</v>
      </c>
      <c r="C36" s="14" t="s">
        <v>53</v>
      </c>
      <c r="D36" s="15" t="s">
        <v>52</v>
      </c>
      <c r="E36" s="83">
        <f>(9.6+2.9+4.2+3+1)*2</f>
        <v>41.4</v>
      </c>
      <c r="F36" s="84">
        <v>32</v>
      </c>
      <c r="G36" s="82">
        <f t="shared" si="4"/>
        <v>1324.8</v>
      </c>
      <c r="H36" s="16">
        <f>(5.9/2)*2</f>
        <v>5.9</v>
      </c>
      <c r="I36" s="42">
        <v>32</v>
      </c>
      <c r="J36" s="76">
        <f t="shared" si="3"/>
        <v>188.8</v>
      </c>
      <c r="L36" s="8" t="s">
        <v>50</v>
      </c>
      <c r="M36" s="14" t="s">
        <v>51</v>
      </c>
      <c r="N36" s="15" t="s">
        <v>52</v>
      </c>
      <c r="O36" s="16">
        <f>(5.9)*4</f>
        <v>23.6</v>
      </c>
      <c r="P36" s="42">
        <v>30.86</v>
      </c>
      <c r="Q36" s="66">
        <f t="shared" si="5"/>
        <v>728.29600000000005</v>
      </c>
      <c r="R36" s="28"/>
    </row>
    <row r="37" spans="1:235" ht="104.25" customHeight="1">
      <c r="A37" s="17">
        <v>6.7</v>
      </c>
      <c r="B37" s="14" t="s">
        <v>54</v>
      </c>
      <c r="C37" s="14" t="s">
        <v>55</v>
      </c>
      <c r="D37" s="15" t="s">
        <v>12</v>
      </c>
      <c r="E37" s="83">
        <f>(3+3)*(0.32+0.2)*2</f>
        <v>6.24</v>
      </c>
      <c r="F37" s="84">
        <v>178.53</v>
      </c>
      <c r="G37" s="82">
        <f t="shared" si="4"/>
        <v>1114.0272</v>
      </c>
      <c r="H37" s="16">
        <f>(3+3)*(0.32+0.2)*2</f>
        <v>6.24</v>
      </c>
      <c r="I37" s="42">
        <v>178.53</v>
      </c>
      <c r="J37" s="76">
        <f t="shared" si="3"/>
        <v>1114.0272</v>
      </c>
      <c r="L37" s="8" t="s">
        <v>50</v>
      </c>
      <c r="M37" s="14" t="s">
        <v>53</v>
      </c>
      <c r="N37" s="15" t="s">
        <v>52</v>
      </c>
      <c r="O37" s="16">
        <f>(5.9/2)*2</f>
        <v>5.9</v>
      </c>
      <c r="P37" s="42">
        <v>32</v>
      </c>
      <c r="Q37" s="66">
        <f t="shared" si="5"/>
        <v>188.8</v>
      </c>
      <c r="R37" s="28"/>
    </row>
    <row r="38" spans="1:235" s="1" customFormat="1" ht="59.25" customHeight="1">
      <c r="A38" s="17">
        <v>6.8</v>
      </c>
      <c r="B38" s="8" t="s">
        <v>56</v>
      </c>
      <c r="C38" s="18" t="s">
        <v>57</v>
      </c>
      <c r="D38" s="19" t="s">
        <v>45</v>
      </c>
      <c r="E38" s="85">
        <v>2</v>
      </c>
      <c r="F38" s="84">
        <v>189.21</v>
      </c>
      <c r="G38" s="82">
        <f t="shared" si="4"/>
        <v>378.42</v>
      </c>
      <c r="H38" s="20">
        <v>2</v>
      </c>
      <c r="I38" s="42">
        <v>189.21</v>
      </c>
      <c r="J38" s="76">
        <f t="shared" si="3"/>
        <v>378.42</v>
      </c>
      <c r="L38" s="14" t="s">
        <v>54</v>
      </c>
      <c r="M38" s="14" t="s">
        <v>55</v>
      </c>
      <c r="N38" s="15" t="s">
        <v>12</v>
      </c>
      <c r="O38" s="16">
        <f>(3+3)*(0.32+0.2)*2</f>
        <v>6.24</v>
      </c>
      <c r="P38" s="42">
        <v>178.53</v>
      </c>
      <c r="Q38" s="66">
        <f t="shared" si="5"/>
        <v>1114.0272</v>
      </c>
      <c r="R38" s="28"/>
    </row>
    <row r="39" spans="1:235" s="2" customFormat="1" ht="48.75" customHeight="1">
      <c r="A39" s="17">
        <v>6.9</v>
      </c>
      <c r="B39" s="8" t="s">
        <v>58</v>
      </c>
      <c r="C39" s="14" t="s">
        <v>59</v>
      </c>
      <c r="D39" s="15" t="s">
        <v>22</v>
      </c>
      <c r="E39" s="83">
        <v>3</v>
      </c>
      <c r="F39" s="84">
        <v>840.07</v>
      </c>
      <c r="G39" s="82">
        <f t="shared" si="4"/>
        <v>2520.21</v>
      </c>
      <c r="H39" s="16">
        <v>3</v>
      </c>
      <c r="I39" s="42">
        <v>840.07</v>
      </c>
      <c r="J39" s="76">
        <f t="shared" si="3"/>
        <v>2520.21</v>
      </c>
      <c r="L39" s="8" t="s">
        <v>56</v>
      </c>
      <c r="M39" s="18" t="s">
        <v>57</v>
      </c>
      <c r="N39" s="19" t="s">
        <v>45</v>
      </c>
      <c r="O39" s="20">
        <v>2</v>
      </c>
      <c r="P39" s="42">
        <v>189.21</v>
      </c>
      <c r="Q39" s="66">
        <f t="shared" si="5"/>
        <v>378.42</v>
      </c>
      <c r="R39" s="29"/>
    </row>
    <row r="40" spans="1:235" s="2" customFormat="1" ht="52.5" customHeight="1">
      <c r="A40" s="17">
        <v>6.1</v>
      </c>
      <c r="B40" s="8" t="s">
        <v>60</v>
      </c>
      <c r="C40" s="14" t="s">
        <v>59</v>
      </c>
      <c r="D40" s="15" t="s">
        <v>22</v>
      </c>
      <c r="E40" s="83">
        <v>3</v>
      </c>
      <c r="F40" s="84">
        <v>840.07</v>
      </c>
      <c r="G40" s="82">
        <f t="shared" si="4"/>
        <v>2520.21</v>
      </c>
      <c r="H40" s="16">
        <v>3</v>
      </c>
      <c r="I40" s="42">
        <v>840.07</v>
      </c>
      <c r="J40" s="76">
        <f t="shared" si="3"/>
        <v>2520.21</v>
      </c>
      <c r="L40" s="8" t="s">
        <v>58</v>
      </c>
      <c r="M40" s="14" t="s">
        <v>59</v>
      </c>
      <c r="N40" s="15" t="s">
        <v>22</v>
      </c>
      <c r="O40" s="16">
        <v>3</v>
      </c>
      <c r="P40" s="42">
        <v>840.07</v>
      </c>
      <c r="Q40" s="66">
        <f t="shared" si="5"/>
        <v>2520.21</v>
      </c>
      <c r="R40" s="30"/>
    </row>
    <row r="41" spans="1:235" s="3" customFormat="1" ht="93.75" customHeight="1">
      <c r="A41" s="17">
        <v>6.11</v>
      </c>
      <c r="B41" s="21" t="s">
        <v>61</v>
      </c>
      <c r="C41" s="21" t="s">
        <v>62</v>
      </c>
      <c r="D41" s="22" t="s">
        <v>52</v>
      </c>
      <c r="E41" s="86">
        <v>15</v>
      </c>
      <c r="F41" s="84">
        <v>28</v>
      </c>
      <c r="G41" s="82">
        <f t="shared" si="4"/>
        <v>420</v>
      </c>
      <c r="H41" s="23">
        <f>(5.9/2+4.3)*2</f>
        <v>14.5</v>
      </c>
      <c r="I41" s="42">
        <v>28</v>
      </c>
      <c r="J41" s="76">
        <f t="shared" si="3"/>
        <v>406</v>
      </c>
      <c r="K41" s="2"/>
      <c r="L41" s="8" t="s">
        <v>60</v>
      </c>
      <c r="M41" s="14" t="s">
        <v>59</v>
      </c>
      <c r="N41" s="15" t="s">
        <v>22</v>
      </c>
      <c r="O41" s="16">
        <v>3</v>
      </c>
      <c r="P41" s="42">
        <v>840.07</v>
      </c>
      <c r="Q41" s="66">
        <f t="shared" si="5"/>
        <v>2520.21</v>
      </c>
      <c r="R41" s="3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</row>
    <row r="42" spans="1:235" s="3" customFormat="1" ht="93.75" customHeight="1">
      <c r="A42" s="17">
        <v>6.12</v>
      </c>
      <c r="B42" s="21" t="s">
        <v>136</v>
      </c>
      <c r="C42" s="68" t="s">
        <v>137</v>
      </c>
      <c r="D42" s="22" t="s">
        <v>52</v>
      </c>
      <c r="E42" s="86">
        <v>5</v>
      </c>
      <c r="F42" s="84">
        <f>28+20</f>
        <v>48</v>
      </c>
      <c r="G42" s="82">
        <f t="shared" si="4"/>
        <v>240</v>
      </c>
      <c r="H42" s="70"/>
      <c r="I42" s="70"/>
      <c r="J42" s="76">
        <f t="shared" si="3"/>
        <v>0</v>
      </c>
      <c r="K42" s="2"/>
      <c r="L42" s="21" t="s">
        <v>61</v>
      </c>
      <c r="M42" s="21" t="s">
        <v>62</v>
      </c>
      <c r="N42" s="22" t="s">
        <v>52</v>
      </c>
      <c r="O42" s="23">
        <f>(5.9/2+4.3)*2</f>
        <v>14.5</v>
      </c>
      <c r="P42" s="42">
        <v>28</v>
      </c>
      <c r="Q42" s="66">
        <f t="shared" si="5"/>
        <v>406</v>
      </c>
      <c r="R42" s="3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</row>
    <row r="43" spans="1:235" s="3" customFormat="1" ht="27.95" customHeight="1">
      <c r="A43" s="17">
        <v>6.13</v>
      </c>
      <c r="B43" s="21" t="s">
        <v>63</v>
      </c>
      <c r="C43" s="21" t="s">
        <v>64</v>
      </c>
      <c r="D43" s="22" t="s">
        <v>52</v>
      </c>
      <c r="E43" s="86">
        <v>4</v>
      </c>
      <c r="F43" s="84">
        <v>130</v>
      </c>
      <c r="G43" s="82">
        <f t="shared" si="4"/>
        <v>520</v>
      </c>
      <c r="H43" s="23"/>
      <c r="I43" s="42"/>
      <c r="J43" s="76">
        <f t="shared" si="3"/>
        <v>0</v>
      </c>
      <c r="K43" s="2"/>
      <c r="L43" s="21" t="s">
        <v>63</v>
      </c>
      <c r="M43" s="21" t="s">
        <v>64</v>
      </c>
      <c r="N43" s="22" t="s">
        <v>52</v>
      </c>
      <c r="O43" s="23">
        <v>4</v>
      </c>
      <c r="P43" s="42">
        <v>130</v>
      </c>
      <c r="Q43" s="66">
        <f t="shared" si="5"/>
        <v>520</v>
      </c>
      <c r="R43" s="3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</row>
    <row r="44" spans="1:235" s="2" customFormat="1" ht="31.5" customHeight="1">
      <c r="A44" s="17">
        <v>6.14</v>
      </c>
      <c r="B44" s="14" t="s">
        <v>65</v>
      </c>
      <c r="C44" s="14"/>
      <c r="D44" s="15" t="s">
        <v>66</v>
      </c>
      <c r="E44" s="83">
        <v>2</v>
      </c>
      <c r="F44" s="84">
        <v>100</v>
      </c>
      <c r="G44" s="82">
        <f t="shared" si="4"/>
        <v>200</v>
      </c>
      <c r="H44" s="16">
        <v>2</v>
      </c>
      <c r="I44" s="42">
        <v>100</v>
      </c>
      <c r="J44" s="76">
        <f t="shared" si="3"/>
        <v>200</v>
      </c>
      <c r="L44" s="14" t="s">
        <v>65</v>
      </c>
      <c r="M44" s="14"/>
      <c r="N44" s="15" t="s">
        <v>66</v>
      </c>
      <c r="O44" s="16">
        <v>2</v>
      </c>
      <c r="P44" s="42">
        <v>100</v>
      </c>
      <c r="Q44" s="66">
        <f t="shared" si="5"/>
        <v>200</v>
      </c>
      <c r="R44" s="30"/>
    </row>
    <row r="45" spans="1:235" ht="44.25" customHeight="1">
      <c r="A45" s="17">
        <v>6.15</v>
      </c>
      <c r="B45" s="14" t="s">
        <v>67</v>
      </c>
      <c r="C45" s="14" t="s">
        <v>68</v>
      </c>
      <c r="D45" s="15" t="s">
        <v>12</v>
      </c>
      <c r="E45" s="83">
        <f>(0.025*0.025*3.14*(82.8+41.4))+6.24</f>
        <v>6.4837425</v>
      </c>
      <c r="F45" s="84">
        <v>80</v>
      </c>
      <c r="G45" s="82">
        <f t="shared" si="4"/>
        <v>518.69939999999997</v>
      </c>
      <c r="H45" s="16">
        <f>(0.025*0.025*3.14*(82.8+41.4))+6.24</f>
        <v>6.4837425</v>
      </c>
      <c r="I45" s="42">
        <v>80</v>
      </c>
      <c r="J45" s="76">
        <f t="shared" si="3"/>
        <v>518.69939999999997</v>
      </c>
      <c r="L45" s="14" t="s">
        <v>67</v>
      </c>
      <c r="M45" s="14" t="s">
        <v>68</v>
      </c>
      <c r="N45" s="15" t="s">
        <v>12</v>
      </c>
      <c r="O45" s="16">
        <f>(0.025*0.025*3.14*(82.8+41.4))+6.24</f>
        <v>6.4837425</v>
      </c>
      <c r="P45" s="42">
        <v>80</v>
      </c>
      <c r="Q45" s="66">
        <f t="shared" si="5"/>
        <v>518.69939999999997</v>
      </c>
      <c r="R45" s="28"/>
    </row>
    <row r="46" spans="1:235" ht="27.75" customHeight="1">
      <c r="A46" s="17">
        <v>6.16</v>
      </c>
      <c r="B46" s="14" t="s">
        <v>69</v>
      </c>
      <c r="C46" s="14" t="s">
        <v>70</v>
      </c>
      <c r="D46" s="15" t="s">
        <v>22</v>
      </c>
      <c r="E46" s="83">
        <v>4</v>
      </c>
      <c r="F46" s="84">
        <v>80</v>
      </c>
      <c r="G46" s="82">
        <f t="shared" si="4"/>
        <v>320</v>
      </c>
      <c r="H46" s="16">
        <v>4</v>
      </c>
      <c r="I46" s="42">
        <v>80</v>
      </c>
      <c r="J46" s="76">
        <f t="shared" si="3"/>
        <v>320</v>
      </c>
      <c r="L46" s="14" t="s">
        <v>69</v>
      </c>
      <c r="M46" s="14" t="s">
        <v>70</v>
      </c>
      <c r="N46" s="15" t="s">
        <v>22</v>
      </c>
      <c r="O46" s="16">
        <v>4</v>
      </c>
      <c r="P46" s="42">
        <v>80</v>
      </c>
      <c r="Q46" s="66">
        <f t="shared" si="5"/>
        <v>320</v>
      </c>
      <c r="R46" s="28"/>
    </row>
    <row r="47" spans="1:235" s="3" customFormat="1" ht="29.25" customHeight="1">
      <c r="A47" s="17">
        <v>6.17</v>
      </c>
      <c r="B47" s="8" t="s">
        <v>71</v>
      </c>
      <c r="C47" s="24"/>
      <c r="D47" s="64" t="s">
        <v>22</v>
      </c>
      <c r="E47" s="87">
        <v>1</v>
      </c>
      <c r="F47" s="88">
        <v>11.96</v>
      </c>
      <c r="G47" s="82">
        <f t="shared" si="4"/>
        <v>11.96</v>
      </c>
      <c r="H47" s="25">
        <v>1</v>
      </c>
      <c r="I47" s="43">
        <v>11.96</v>
      </c>
      <c r="J47" s="76">
        <f t="shared" si="3"/>
        <v>11.96</v>
      </c>
      <c r="L47" s="8" t="s">
        <v>71</v>
      </c>
      <c r="M47" s="24"/>
      <c r="N47" s="64" t="s">
        <v>22</v>
      </c>
      <c r="O47" s="25">
        <v>1</v>
      </c>
      <c r="P47" s="43">
        <v>11.96</v>
      </c>
      <c r="Q47" s="66">
        <f t="shared" si="5"/>
        <v>11.96</v>
      </c>
      <c r="R47" s="31"/>
    </row>
    <row r="48" spans="1:235" s="3" customFormat="1" ht="29.25" customHeight="1">
      <c r="A48" s="17">
        <v>6.18</v>
      </c>
      <c r="B48" s="8" t="s">
        <v>72</v>
      </c>
      <c r="C48" s="24"/>
      <c r="D48" s="64" t="s">
        <v>22</v>
      </c>
      <c r="E48" s="87">
        <v>3</v>
      </c>
      <c r="F48" s="88">
        <v>13</v>
      </c>
      <c r="G48" s="82">
        <f t="shared" si="4"/>
        <v>39</v>
      </c>
      <c r="H48" s="25">
        <v>3</v>
      </c>
      <c r="I48" s="43">
        <v>13</v>
      </c>
      <c r="J48" s="76">
        <f t="shared" si="3"/>
        <v>39</v>
      </c>
      <c r="L48" s="8" t="s">
        <v>72</v>
      </c>
      <c r="M48" s="24"/>
      <c r="N48" s="64" t="s">
        <v>22</v>
      </c>
      <c r="O48" s="25">
        <v>3</v>
      </c>
      <c r="P48" s="43">
        <v>13</v>
      </c>
      <c r="Q48" s="66">
        <f t="shared" si="5"/>
        <v>39</v>
      </c>
      <c r="R48" s="31"/>
    </row>
    <row r="49" spans="1:18" ht="20.25" customHeight="1">
      <c r="A49" s="63">
        <v>7</v>
      </c>
      <c r="B49" s="7" t="s">
        <v>73</v>
      </c>
      <c r="C49" s="8"/>
      <c r="D49" s="64"/>
      <c r="E49" s="78"/>
      <c r="F49" s="79"/>
      <c r="G49" s="73">
        <f>SUM(G50:G53)</f>
        <v>3145.502</v>
      </c>
      <c r="H49" s="74"/>
      <c r="I49" s="74"/>
      <c r="J49" s="73">
        <f>SUM(J50:J53)</f>
        <v>3139.3820000000001</v>
      </c>
      <c r="L49" s="7" t="s">
        <v>73</v>
      </c>
      <c r="M49" s="8"/>
      <c r="N49" s="64"/>
      <c r="O49" s="9"/>
      <c r="P49" s="39"/>
      <c r="Q49" s="36">
        <f>SUM(Q50:Q53)</f>
        <v>3139.3820000000001</v>
      </c>
      <c r="R49" s="28"/>
    </row>
    <row r="50" spans="1:18" ht="56.25" customHeight="1">
      <c r="A50" s="63">
        <v>7.1</v>
      </c>
      <c r="B50" s="18" t="s">
        <v>74</v>
      </c>
      <c r="C50" s="18" t="s">
        <v>75</v>
      </c>
      <c r="D50" s="19" t="s">
        <v>52</v>
      </c>
      <c r="E50" s="85">
        <f>7.4+(2.6*3*3)+2*3</f>
        <v>36.800000000000004</v>
      </c>
      <c r="F50" s="84">
        <v>4.08</v>
      </c>
      <c r="G50" s="82">
        <f>F50*E50</f>
        <v>150.14400000000003</v>
      </c>
      <c r="H50" s="20">
        <f>5.9+(2.6*3*3)+2*3</f>
        <v>35.300000000000004</v>
      </c>
      <c r="I50" s="42">
        <v>4.08</v>
      </c>
      <c r="J50" s="76">
        <f t="shared" si="3"/>
        <v>144.02400000000003</v>
      </c>
      <c r="L50" s="18" t="s">
        <v>74</v>
      </c>
      <c r="M50" s="18" t="s">
        <v>75</v>
      </c>
      <c r="N50" s="19" t="s">
        <v>52</v>
      </c>
      <c r="O50" s="20">
        <f>5.9+(2.6*3*3)+2*3</f>
        <v>35.300000000000004</v>
      </c>
      <c r="P50" s="42">
        <v>4.08</v>
      </c>
      <c r="Q50" s="66">
        <f>P50*O50</f>
        <v>144.02400000000003</v>
      </c>
      <c r="R50" s="28"/>
    </row>
    <row r="51" spans="1:18" ht="56.25" customHeight="1">
      <c r="A51" s="63">
        <v>7.2</v>
      </c>
      <c r="B51" s="18" t="s">
        <v>76</v>
      </c>
      <c r="C51" s="18" t="s">
        <v>77</v>
      </c>
      <c r="D51" s="19" t="s">
        <v>52</v>
      </c>
      <c r="E51" s="85">
        <f>(2.6*3*3)+2*3</f>
        <v>29.400000000000002</v>
      </c>
      <c r="F51" s="84">
        <v>69.569999999999993</v>
      </c>
      <c r="G51" s="82">
        <f>F51*E51</f>
        <v>2045.3579999999999</v>
      </c>
      <c r="H51" s="20">
        <f>(2.6*3*3)+2*3</f>
        <v>29.400000000000002</v>
      </c>
      <c r="I51" s="42">
        <v>69.569999999999993</v>
      </c>
      <c r="J51" s="76">
        <f t="shared" si="3"/>
        <v>2045.3579999999999</v>
      </c>
      <c r="L51" s="18" t="s">
        <v>76</v>
      </c>
      <c r="M51" s="18" t="s">
        <v>77</v>
      </c>
      <c r="N51" s="19" t="s">
        <v>52</v>
      </c>
      <c r="O51" s="20">
        <f>(2.6*3*3)+2*3</f>
        <v>29.400000000000002</v>
      </c>
      <c r="P51" s="42">
        <v>69.569999999999993</v>
      </c>
      <c r="Q51" s="66">
        <f>P51*O51</f>
        <v>2045.3579999999999</v>
      </c>
      <c r="R51" s="28"/>
    </row>
    <row r="52" spans="1:18" ht="32.25" customHeight="1">
      <c r="A52" s="63">
        <v>7.3</v>
      </c>
      <c r="B52" s="18" t="s">
        <v>78</v>
      </c>
      <c r="C52" s="18" t="s">
        <v>79</v>
      </c>
      <c r="D52" s="19" t="s">
        <v>22</v>
      </c>
      <c r="E52" s="85">
        <v>9</v>
      </c>
      <c r="F52" s="84">
        <v>50</v>
      </c>
      <c r="G52" s="82">
        <f>F52*E52</f>
        <v>450</v>
      </c>
      <c r="H52" s="20">
        <v>9</v>
      </c>
      <c r="I52" s="42">
        <v>50</v>
      </c>
      <c r="J52" s="76">
        <f t="shared" si="3"/>
        <v>450</v>
      </c>
      <c r="L52" s="18" t="s">
        <v>78</v>
      </c>
      <c r="M52" s="18" t="s">
        <v>79</v>
      </c>
      <c r="N52" s="19" t="s">
        <v>22</v>
      </c>
      <c r="O52" s="20">
        <v>9</v>
      </c>
      <c r="P52" s="42">
        <v>50</v>
      </c>
      <c r="Q52" s="66">
        <f>P52*O52</f>
        <v>450</v>
      </c>
      <c r="R52" s="28"/>
    </row>
    <row r="53" spans="1:18" s="3" customFormat="1" ht="24">
      <c r="A53" s="17">
        <v>7.4</v>
      </c>
      <c r="B53" s="8" t="s">
        <v>80</v>
      </c>
      <c r="C53" s="24"/>
      <c r="D53" s="64" t="s">
        <v>22</v>
      </c>
      <c r="E53" s="87">
        <v>1</v>
      </c>
      <c r="F53" s="88">
        <v>500</v>
      </c>
      <c r="G53" s="82">
        <f>F53*E53</f>
        <v>500</v>
      </c>
      <c r="H53" s="25">
        <v>1</v>
      </c>
      <c r="I53" s="43">
        <v>500</v>
      </c>
      <c r="J53" s="76">
        <f t="shared" si="3"/>
        <v>500</v>
      </c>
      <c r="L53" s="8" t="s">
        <v>80</v>
      </c>
      <c r="M53" s="24"/>
      <c r="N53" s="64" t="s">
        <v>22</v>
      </c>
      <c r="O53" s="25">
        <v>1</v>
      </c>
      <c r="P53" s="43">
        <v>500</v>
      </c>
      <c r="Q53" s="66">
        <f>P53*O53</f>
        <v>500</v>
      </c>
      <c r="R53" s="31"/>
    </row>
    <row r="54" spans="1:18" ht="24">
      <c r="A54" s="63">
        <v>8</v>
      </c>
      <c r="B54" s="26" t="s">
        <v>81</v>
      </c>
      <c r="C54" s="18"/>
      <c r="D54" s="19"/>
      <c r="E54" s="85"/>
      <c r="F54" s="84"/>
      <c r="G54" s="89">
        <f>G55</f>
        <v>90000</v>
      </c>
      <c r="H54" s="74"/>
      <c r="I54" s="74"/>
      <c r="J54" s="89">
        <f>J55</f>
        <v>90000</v>
      </c>
      <c r="L54" s="26" t="s">
        <v>81</v>
      </c>
      <c r="M54" s="18"/>
      <c r="N54" s="19"/>
      <c r="O54" s="20"/>
      <c r="P54" s="42"/>
      <c r="Q54" s="44">
        <f>Q55</f>
        <v>90000</v>
      </c>
      <c r="R54" s="28"/>
    </row>
    <row r="55" spans="1:18" ht="60">
      <c r="A55" s="63">
        <v>8.1</v>
      </c>
      <c r="B55" s="18" t="s">
        <v>81</v>
      </c>
      <c r="C55" s="18" t="s">
        <v>82</v>
      </c>
      <c r="D55" s="19" t="s">
        <v>22</v>
      </c>
      <c r="E55" s="85">
        <v>2</v>
      </c>
      <c r="F55" s="84">
        <v>45000</v>
      </c>
      <c r="G55" s="76">
        <f>F55*E55</f>
        <v>90000</v>
      </c>
      <c r="H55" s="20">
        <v>2</v>
      </c>
      <c r="I55" s="42">
        <v>45000</v>
      </c>
      <c r="J55" s="76">
        <f t="shared" si="3"/>
        <v>90000</v>
      </c>
      <c r="L55" s="18" t="s">
        <v>81</v>
      </c>
      <c r="M55" s="18" t="s">
        <v>82</v>
      </c>
      <c r="N55" s="19" t="s">
        <v>22</v>
      </c>
      <c r="O55" s="20">
        <v>2</v>
      </c>
      <c r="P55" s="42">
        <v>45000</v>
      </c>
      <c r="Q55" s="37">
        <f>P55*O55</f>
        <v>90000</v>
      </c>
      <c r="R55" s="28"/>
    </row>
    <row r="56" spans="1:18" ht="12">
      <c r="A56" s="27">
        <v>9</v>
      </c>
      <c r="B56" s="26" t="s">
        <v>83</v>
      </c>
      <c r="C56" s="18"/>
      <c r="D56" s="19"/>
      <c r="E56" s="85"/>
      <c r="F56" s="84"/>
      <c r="G56" s="77">
        <f>G57</f>
        <v>5000</v>
      </c>
      <c r="H56" s="74"/>
      <c r="I56" s="74"/>
      <c r="J56" s="77">
        <f>J57</f>
        <v>5000</v>
      </c>
      <c r="L56" s="26" t="s">
        <v>83</v>
      </c>
      <c r="M56" s="18"/>
      <c r="N56" s="19"/>
      <c r="O56" s="20"/>
      <c r="P56" s="42"/>
      <c r="Q56" s="38">
        <f>Q57</f>
        <v>5000</v>
      </c>
      <c r="R56" s="28"/>
    </row>
    <row r="57" spans="1:18" ht="12">
      <c r="A57" s="63">
        <v>9.1</v>
      </c>
      <c r="B57" s="18" t="s">
        <v>83</v>
      </c>
      <c r="C57" s="18"/>
      <c r="D57" s="19" t="s">
        <v>17</v>
      </c>
      <c r="E57" s="85">
        <v>1</v>
      </c>
      <c r="F57" s="84">
        <v>5000</v>
      </c>
      <c r="G57" s="76">
        <f>F57*E57</f>
        <v>5000</v>
      </c>
      <c r="H57" s="20">
        <v>1</v>
      </c>
      <c r="I57" s="42">
        <v>5000</v>
      </c>
      <c r="J57" s="76">
        <f t="shared" si="3"/>
        <v>5000</v>
      </c>
      <c r="L57" s="18" t="s">
        <v>83</v>
      </c>
      <c r="M57" s="18"/>
      <c r="N57" s="19" t="s">
        <v>17</v>
      </c>
      <c r="O57" s="20">
        <v>1</v>
      </c>
      <c r="P57" s="42">
        <v>5000</v>
      </c>
      <c r="Q57" s="37">
        <f>P57*O57</f>
        <v>5000</v>
      </c>
      <c r="R57" s="28"/>
    </row>
    <row r="58" spans="1:18" ht="12">
      <c r="A58" s="105" t="s">
        <v>27</v>
      </c>
      <c r="B58" s="106"/>
      <c r="C58" s="106"/>
      <c r="D58" s="106"/>
      <c r="E58" s="106"/>
      <c r="F58" s="45"/>
      <c r="G58" s="46">
        <f>G56+G54+G49+G30+G26+G24+G20+G16+G6</f>
        <v>190822.17430000001</v>
      </c>
      <c r="H58" s="69"/>
      <c r="I58" s="69"/>
      <c r="J58" s="90">
        <f>J6+J16+J20+J24+J26+J30+J49+J54+J56</f>
        <v>182118.81719999999</v>
      </c>
      <c r="P58" s="45"/>
      <c r="Q58" s="46">
        <f>Q56+Q54+Q49+Q31+Q27+Q25+Q18+Q14+Q6</f>
        <v>185729.97019999998</v>
      </c>
      <c r="R58" s="28"/>
    </row>
    <row r="59" spans="1:18" ht="12">
      <c r="A59" s="105" t="s">
        <v>84</v>
      </c>
      <c r="B59" s="106"/>
      <c r="C59" s="106"/>
      <c r="D59" s="106"/>
      <c r="E59" s="106"/>
      <c r="F59" s="45"/>
      <c r="G59" s="46">
        <f>G58*0.09</f>
        <v>17173.995687000002</v>
      </c>
      <c r="H59" s="69"/>
      <c r="I59" s="69"/>
      <c r="J59" s="90">
        <f>J58*0.09</f>
        <v>16390.693547999999</v>
      </c>
      <c r="P59" s="45"/>
      <c r="Q59" s="46">
        <f>Q58*0.09</f>
        <v>16715.697317999999</v>
      </c>
      <c r="R59" s="28"/>
    </row>
    <row r="60" spans="1:18" ht="12.75" thickBot="1">
      <c r="A60" s="107" t="s">
        <v>85</v>
      </c>
      <c r="B60" s="108"/>
      <c r="C60" s="108"/>
      <c r="D60" s="108"/>
      <c r="E60" s="108"/>
      <c r="F60" s="47"/>
      <c r="G60" s="48">
        <f>G58+G59</f>
        <v>207996.169987</v>
      </c>
      <c r="H60" s="69"/>
      <c r="I60" s="69"/>
      <c r="J60" s="90">
        <f>J58+J59</f>
        <v>198509.510748</v>
      </c>
      <c r="K60" s="91">
        <f>G60-J60</f>
        <v>9486.6592390000005</v>
      </c>
      <c r="P60" s="47"/>
      <c r="Q60" s="48">
        <f>Q58+Q59</f>
        <v>202445.66751799997</v>
      </c>
      <c r="R60" s="32"/>
    </row>
  </sheetData>
  <mergeCells count="25">
    <mergeCell ref="R3:R5"/>
    <mergeCell ref="P4:P5"/>
    <mergeCell ref="O3:O5"/>
    <mergeCell ref="M3:M5"/>
    <mergeCell ref="N3:N5"/>
    <mergeCell ref="Q4:Q5"/>
    <mergeCell ref="L3:L5"/>
    <mergeCell ref="P3:Q3"/>
    <mergeCell ref="A58:E58"/>
    <mergeCell ref="A59:E59"/>
    <mergeCell ref="A60:E60"/>
    <mergeCell ref="H3:H5"/>
    <mergeCell ref="I3:J3"/>
    <mergeCell ref="I4:I5"/>
    <mergeCell ref="J4:J5"/>
    <mergeCell ref="A1:G1"/>
    <mergeCell ref="A2:E2"/>
    <mergeCell ref="A3:A5"/>
    <mergeCell ref="B3:B5"/>
    <mergeCell ref="C3:C5"/>
    <mergeCell ref="D3:D5"/>
    <mergeCell ref="E3:E5"/>
    <mergeCell ref="F3:G3"/>
    <mergeCell ref="F4:F5"/>
    <mergeCell ref="G4:G5"/>
  </mergeCells>
  <phoneticPr fontId="1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扉-2 投标报价扉页</vt:lpstr>
      <vt:lpstr>体检中心电测听室改造工程</vt:lpstr>
      <vt:lpstr>对比表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2025-06-16T03:22:51Z</cp:lastPrinted>
  <dcterms:created xsi:type="dcterms:W3CDTF">2022-08-05T11:55:00Z</dcterms:created>
  <dcterms:modified xsi:type="dcterms:W3CDTF">2025-06-16T07:19:27Z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CF41B365AD1849F0B58EFC71A2351C69_13</vt:lpwstr>
  </property>
  <property fmtid="{D5CDD505-2E9C-101B-9397-08002B2CF9AE}" pid="3" name="KSOProductBuildVer">
    <vt:lpwstr>2052-12.1.0.20305</vt:lpwstr>
  </property>
</Properties>
</file>