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4000" windowHeight="976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E34" i="1" l="1"/>
  <c r="G34" i="1" l="1"/>
  <c r="E33" i="1" l="1"/>
  <c r="G33" i="1" s="1"/>
  <c r="G32" i="1"/>
  <c r="E32" i="1"/>
  <c r="G25" i="1" l="1"/>
  <c r="G22" i="1"/>
  <c r="G23" i="1"/>
  <c r="G20" i="1"/>
  <c r="G17" i="1"/>
  <c r="G16" i="1"/>
  <c r="E31" i="1"/>
  <c r="G31" i="1" s="1"/>
  <c r="E30" i="1"/>
  <c r="G30" i="1" s="1"/>
  <c r="E29" i="1"/>
  <c r="G29" i="1" s="1"/>
  <c r="E28" i="1"/>
  <c r="G28" i="1" s="1"/>
  <c r="E27" i="1"/>
  <c r="G27" i="1" s="1"/>
  <c r="E26" i="1"/>
  <c r="G26" i="1" s="1"/>
  <c r="E24" i="1"/>
  <c r="G24" i="1" s="1"/>
  <c r="E21" i="1"/>
  <c r="G21" i="1" s="1"/>
  <c r="E19" i="1"/>
  <c r="G19" i="1" s="1"/>
  <c r="E18" i="1"/>
  <c r="G18" i="1" s="1"/>
  <c r="E15" i="1"/>
  <c r="G15" i="1" s="1"/>
  <c r="E11" i="1" l="1"/>
  <c r="G11" i="1" s="1"/>
  <c r="E9" i="1"/>
  <c r="G9" i="1" s="1"/>
  <c r="E6" i="1"/>
  <c r="G6" i="1" s="1"/>
  <c r="E14" i="1" l="1"/>
  <c r="G14" i="1" s="1"/>
  <c r="E5" i="1" l="1"/>
  <c r="E4" i="1"/>
  <c r="E8" i="1"/>
  <c r="E7" i="1"/>
  <c r="G5" i="1" l="1"/>
  <c r="G7" i="1"/>
  <c r="G8" i="1"/>
  <c r="D59" i="1" l="1"/>
  <c r="C59" i="1"/>
  <c r="C58" i="1"/>
  <c r="C57" i="1"/>
  <c r="C56" i="1"/>
  <c r="C55" i="1"/>
  <c r="C54" i="1"/>
  <c r="C53" i="1"/>
  <c r="C52" i="1"/>
  <c r="C51" i="1"/>
  <c r="E51" i="1" s="1"/>
  <c r="C50" i="1"/>
  <c r="E50" i="1" s="1"/>
  <c r="C49" i="1"/>
  <c r="C48" i="1"/>
  <c r="C47" i="1"/>
  <c r="C46" i="1"/>
  <c r="C45" i="1"/>
  <c r="E59" i="1"/>
  <c r="D58" i="1"/>
  <c r="D57" i="1"/>
  <c r="E57" i="1" s="1"/>
  <c r="D56" i="1"/>
  <c r="D55" i="1"/>
  <c r="D54" i="1"/>
  <c r="D53" i="1"/>
  <c r="D52" i="1"/>
  <c r="D51" i="1"/>
  <c r="D50" i="1"/>
  <c r="D49" i="1"/>
  <c r="D48" i="1"/>
  <c r="E48" i="1"/>
  <c r="D47" i="1"/>
  <c r="E47" i="1" s="1"/>
  <c r="D46" i="1"/>
  <c r="E46" i="1" s="1"/>
  <c r="D45" i="1"/>
  <c r="E52" i="1" l="1"/>
  <c r="E56" i="1"/>
  <c r="E53" i="1"/>
  <c r="E49" i="1"/>
  <c r="E54" i="1"/>
  <c r="E55" i="1"/>
  <c r="E58" i="1"/>
  <c r="E45" i="1"/>
  <c r="D60" i="1" s="1"/>
  <c r="G13" i="1"/>
  <c r="L43" i="1"/>
  <c r="K43" i="1"/>
  <c r="L42" i="1"/>
  <c r="K42" i="1"/>
  <c r="K41" i="1"/>
  <c r="K40" i="1"/>
  <c r="L41" i="1"/>
  <c r="M41" i="1" l="1"/>
  <c r="M42" i="1"/>
  <c r="M43" i="1"/>
  <c r="L40" i="1"/>
  <c r="M40" i="1" s="1"/>
  <c r="M44" i="1" s="1"/>
  <c r="E12" i="1" l="1"/>
  <c r="G12" i="1" s="1"/>
  <c r="E10" i="1"/>
  <c r="G10" i="1" s="1"/>
  <c r="G4" i="1" l="1"/>
  <c r="G35" i="1" s="1"/>
  <c r="G36" i="1" l="1"/>
  <c r="G37" i="1" s="1"/>
</calcChain>
</file>

<file path=xl/sharedStrings.xml><?xml version="1.0" encoding="utf-8"?>
<sst xmlns="http://schemas.openxmlformats.org/spreadsheetml/2006/main" count="160" uniqueCount="118">
  <si>
    <t>序号</t>
  </si>
  <si>
    <t>工程名称</t>
  </si>
  <si>
    <t>工程内容</t>
  </si>
  <si>
    <t>单位</t>
  </si>
  <si>
    <t>工程数量</t>
  </si>
  <si>
    <t>单价(元)</t>
  </si>
  <si>
    <t>合价(元)</t>
  </si>
  <si>
    <t>不含税总计</t>
    <phoneticPr fontId="8" type="noConversion"/>
  </si>
  <si>
    <t>税金</t>
  </si>
  <si>
    <t>含税</t>
  </si>
  <si>
    <t xml:space="preserve"> </t>
    <phoneticPr fontId="8" type="noConversion"/>
  </si>
  <si>
    <t>m²</t>
  </si>
  <si>
    <t>工程名称:产科VIP病房装修工程</t>
    <phoneticPr fontId="8" type="noConversion"/>
  </si>
  <si>
    <t>墙体饰面板</t>
    <phoneticPr fontId="3" type="noConversion"/>
  </si>
  <si>
    <t>竹木纤维墙体阳角压线</t>
    <phoneticPr fontId="3" type="noConversion"/>
  </si>
  <si>
    <t>1.规格为50*3收口线；
2.安装辅助胶及底部悬挂金属件</t>
    <phoneticPr fontId="6" type="noConversion"/>
  </si>
  <si>
    <t>m</t>
    <phoneticPr fontId="3" type="noConversion"/>
  </si>
  <si>
    <t>吊顶天棚</t>
  </si>
  <si>
    <t>单开白枫木门M1023</t>
  </si>
  <si>
    <t>m2</t>
  </si>
  <si>
    <t>双开白枫木门 M1223</t>
  </si>
  <si>
    <t>1.单开白枫木门
2.不锈钢门锁</t>
    <phoneticPr fontId="3" type="noConversion"/>
  </si>
  <si>
    <t>1.双开白枫木门 
2.不锈钢门锁</t>
    <phoneticPr fontId="3" type="noConversion"/>
  </si>
  <si>
    <t>衣柜</t>
  </si>
  <si>
    <t>1、衣柜2(高柜) 带木门 外饰面榉木胶合板 无内饰面板
2、木材面油硝基清漆(叻架) 家具</t>
  </si>
  <si>
    <t>1、衣柜2(高柜) 带木门 外饰面榉木胶合板 无内饰面板
2、木材面油硝基清漆(叻架) 家具
3、基层板、木地板面防火涂料2遍 双层</t>
  </si>
  <si>
    <t>14间</t>
    <phoneticPr fontId="3" type="noConversion"/>
  </si>
  <si>
    <t>周长23.4</t>
    <phoneticPr fontId="3" type="noConversion"/>
  </si>
  <si>
    <t>2间</t>
    <phoneticPr fontId="3" type="noConversion"/>
  </si>
  <si>
    <t>周长24.745</t>
    <phoneticPr fontId="3" type="noConversion"/>
  </si>
  <si>
    <t>1间</t>
    <phoneticPr fontId="3" type="noConversion"/>
  </si>
  <si>
    <t>6+4+6+1.82+1.5</t>
    <phoneticPr fontId="3" type="noConversion"/>
  </si>
  <si>
    <t>扣除</t>
    <phoneticPr fontId="3" type="noConversion"/>
  </si>
  <si>
    <t>走廊</t>
    <phoneticPr fontId="3" type="noConversion"/>
  </si>
  <si>
    <r>
      <t>周1</t>
    </r>
    <r>
      <rPr>
        <sz val="11"/>
        <color theme="1"/>
        <rFont val="宋体"/>
        <family val="3"/>
        <charset val="134"/>
        <scheme val="minor"/>
      </rPr>
      <t>52</t>
    </r>
    <phoneticPr fontId="3" type="noConversion"/>
  </si>
  <si>
    <t>墙面白色乳胶漆</t>
    <phoneticPr fontId="8" type="noConversion"/>
  </si>
  <si>
    <t>女更衣</t>
  </si>
  <si>
    <t>刷到顶</t>
  </si>
  <si>
    <t>男更衣</t>
  </si>
  <si>
    <t>休息室</t>
  </si>
  <si>
    <t>谈话间</t>
  </si>
  <si>
    <t>治疗室</t>
  </si>
  <si>
    <t>处置室</t>
  </si>
  <si>
    <t>妇科检查室</t>
  </si>
  <si>
    <t>值班室1</t>
  </si>
  <si>
    <t>值班室2</t>
  </si>
  <si>
    <t>值班室3</t>
  </si>
  <si>
    <t>被服间</t>
  </si>
  <si>
    <t>护长办公室</t>
  </si>
  <si>
    <t>主任办公室</t>
  </si>
  <si>
    <t>示教室</t>
  </si>
  <si>
    <t>医护人员走廊</t>
  </si>
  <si>
    <t>1.墙壁面扫无毒无味白色乳胶漆2遍，医护走廊和医护用房</t>
    <phoneticPr fontId="8" type="noConversion"/>
  </si>
  <si>
    <t>LED灯盘1200*200mm</t>
  </si>
  <si>
    <t>套</t>
  </si>
  <si>
    <t>1.名称:LED灯盘_x000D_
2.规格型号：1200*600mm_x000D_
3.吸顶安装</t>
    <phoneticPr fontId="3" type="noConversion"/>
  </si>
  <si>
    <t>m2</t>
    <phoneticPr fontId="8" type="noConversion"/>
  </si>
  <si>
    <t xml:space="preserve">  </t>
    <phoneticPr fontId="3" type="noConversion"/>
  </si>
  <si>
    <t>1.规格为600*8竹木纤维护墙板；
2.板材安装辅助胶、金属挂件；
病房墙面面积：848.07m2；走廊墙壁面积：271.31m2，护士站墙壁面积：2.9*2.65*2-1*2.4</t>
    <phoneticPr fontId="6" type="noConversion"/>
  </si>
  <si>
    <t>双开白枫木门 M1324</t>
    <phoneticPr fontId="3" type="noConversion"/>
  </si>
  <si>
    <r>
      <t>铺贴P</t>
    </r>
    <r>
      <rPr>
        <sz val="10"/>
        <color indexed="8"/>
        <rFont val="宋体"/>
        <family val="3"/>
        <charset val="134"/>
      </rPr>
      <t>VC地胶</t>
    </r>
    <phoneticPr fontId="6" type="noConversion"/>
  </si>
  <si>
    <r>
      <t>m</t>
    </r>
    <r>
      <rPr>
        <sz val="10"/>
        <color indexed="8"/>
        <rFont val="宋体"/>
        <family val="3"/>
        <charset val="134"/>
      </rPr>
      <t>2</t>
    </r>
    <phoneticPr fontId="6" type="noConversion"/>
  </si>
  <si>
    <t>病房面积：26.98*2+26.46*13+28.51*2，直接在瓷砖上铺设，2mm厚</t>
    <phoneticPr fontId="6" type="noConversion"/>
  </si>
  <si>
    <t>合计</t>
    <phoneticPr fontId="3" type="noConversion"/>
  </si>
  <si>
    <t>工程预算造价汇总表</t>
    <phoneticPr fontId="6" type="noConversion"/>
  </si>
  <si>
    <t>拆除吊顶天棚</t>
    <phoneticPr fontId="3" type="noConversion"/>
  </si>
  <si>
    <t>1.双开白枫木门 
2.不锈钢门锁
3.1300*2400*17</t>
    <phoneticPr fontId="3" type="noConversion"/>
  </si>
  <si>
    <t>1.1300*2400*17</t>
    <phoneticPr fontId="3" type="noConversion"/>
  </si>
  <si>
    <t>拆除病房木门和门框</t>
    <phoneticPr fontId="3" type="noConversion"/>
  </si>
  <si>
    <t>拆除原衣柜</t>
    <phoneticPr fontId="3" type="noConversion"/>
  </si>
  <si>
    <t>1、衣柜2(高柜) 带木门 外饰面榉木胶合板 无内饰面板
2、木材面油硝基清漆(叻架) 家具
3、基层板、木地板面防火涂料2遍 双层
4.1260*2900+1800*2900*16</t>
    <phoneticPr fontId="3" type="noConversion"/>
  </si>
  <si>
    <t>1.1260*2900+1800*2900*16</t>
    <phoneticPr fontId="3" type="noConversion"/>
  </si>
  <si>
    <t>1.装配式U型轻钢天棚龙骨（不上人型）面层规格（mm）600*600 跌级
2.铝扣板面层//换：定制蜂窝铝扣板1220*2440*0.8
3.包含材料、人工、税费、运费</t>
    <phoneticPr fontId="3" type="noConversion"/>
  </si>
  <si>
    <t>个</t>
  </si>
  <si>
    <t>拆、装电视机</t>
  </si>
  <si>
    <t>1.拆、装病房壁挂电视机</t>
  </si>
  <si>
    <t>台</t>
  </si>
  <si>
    <t>拆除置物架</t>
  </si>
  <si>
    <t>1.拆除病房置房架（2156*200）*17</t>
  </si>
  <si>
    <t>拆、装宣传栏</t>
  </si>
  <si>
    <t>1.走道0.6*0.9*21</t>
  </si>
  <si>
    <t>拆、装空调出风口和送风口</t>
  </si>
  <si>
    <t>1.拆除空调送风口和出风口，并清洗
2.待吊顶天花做好后，安装
3.1200*200*2*17</t>
  </si>
  <si>
    <t>走道地面保护</t>
  </si>
  <si>
    <t>1.专用地面保护膜</t>
  </si>
  <si>
    <t>插座</t>
  </si>
  <si>
    <t>1.五孔插座更换
  病房4*17</t>
  </si>
  <si>
    <t>开关</t>
  </si>
  <si>
    <t>1.4位单开 病房1*17</t>
  </si>
  <si>
    <t>1.3位单开 病房1*17走道2个</t>
  </si>
  <si>
    <t>1.1位单开 病房1*17走道19个（其中10个为双联开关</t>
  </si>
  <si>
    <t>空调控制面板</t>
  </si>
  <si>
    <t>1.新款数显控制面板
  病房1个，走道3个</t>
  </si>
  <si>
    <t>消防喷淋头</t>
  </si>
  <si>
    <t>1、火枪拆除消防喷淋头（报废），待安装好天花吊顶后，重新安装新消防头  
   病房5*17</t>
  </si>
  <si>
    <t>输液架</t>
  </si>
  <si>
    <t xml:space="preserve">1.U型专用输液带1.5*1m </t>
  </si>
  <si>
    <t>条</t>
  </si>
  <si>
    <t>地胶压条</t>
  </si>
  <si>
    <t>1.门口与走道接口专用压条边</t>
  </si>
  <si>
    <t>m</t>
  </si>
  <si>
    <t>地面砖补平</t>
  </si>
  <si>
    <t>1.原子灰修补每间病房77米，2mm缝</t>
  </si>
  <si>
    <t>隔墙玻璃柱换色</t>
  </si>
  <si>
    <t>墙脚线</t>
  </si>
  <si>
    <t>1.木板打底，60mm宽不绣钢压条
2.每病房19.14m*17</t>
  </si>
  <si>
    <t>1.床头牌17*4  走道15个，使用</t>
    <phoneticPr fontId="3" type="noConversion"/>
  </si>
  <si>
    <t>拆除床头牌</t>
    <phoneticPr fontId="3" type="noConversion"/>
  </si>
  <si>
    <t>拆除吊顶天棚和龙骨，搬运到电梯，垃圾外运</t>
    <phoneticPr fontId="3" type="noConversion"/>
  </si>
  <si>
    <t>1.深灰色改奶白色2.1*2.7*17，喷漆</t>
    <phoneticPr fontId="3" type="noConversion"/>
  </si>
  <si>
    <t>拆除窗户</t>
    <phoneticPr fontId="3" type="noConversion"/>
  </si>
  <si>
    <t>安装窗户</t>
    <phoneticPr fontId="3" type="noConversion"/>
  </si>
  <si>
    <r>
      <t>m</t>
    </r>
    <r>
      <rPr>
        <sz val="10"/>
        <color theme="1"/>
        <rFont val="宋体"/>
        <family val="3"/>
        <charset val="134"/>
        <scheme val="minor"/>
      </rPr>
      <t>2</t>
    </r>
    <phoneticPr fontId="3" type="noConversion"/>
  </si>
  <si>
    <t>50系列铝合金平开窗。4400mm*2000mm*8，高空作业7层高</t>
    <phoneticPr fontId="3" type="noConversion"/>
  </si>
  <si>
    <t>保温棉</t>
    <phoneticPr fontId="3" type="noConversion"/>
  </si>
  <si>
    <t>m2</t>
    <phoneticPr fontId="3" type="noConversion"/>
  </si>
  <si>
    <t>橡塑复合隔热材料，30mm厚。尺寸：1.35m*0.4m*0.4m*17，DN25水管，长1.53m+14.98m，DN100，长1.87m+15.57m</t>
    <phoneticPr fontId="3" type="noConversion"/>
  </si>
  <si>
    <t>1.50系列铝合金平开窗；
2.玻璃为双层隔音玻璃，尺寸：4400mm*2000mm*30mm；
3.结构胶封边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</si>
</sst>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23" formatCode="\$#,##0_);\(\$#,##0\)"/>
    <numFmt numFmtId="176" formatCode="0.000_);[Red]\(0.000\)"/>
    <numFmt numFmtId="177" formatCode="0.00_);[Red]\(0.00\)"/>
    <numFmt numFmtId="178" formatCode="0.000"/>
    <numFmt numFmtId="179" formatCode="0.00_ "/>
  </numFmts>
  <fonts count="19" x14ac:knownFonts="1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8"/>
      <color indexed="8"/>
      <name val="宋体"/>
      <family val="3"/>
      <charset val="134"/>
    </font>
    <font>
      <sz val="9"/>
      <name val="等线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color indexed="8"/>
      <name val="等线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color indexed="8"/>
      <name val="等线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1"/>
      </patternFill>
    </fill>
    <fill>
      <patternFill patternType="solid">
        <fgColor indexed="9"/>
        <bgColor indexed="8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9" fillId="0" borderId="0"/>
    <xf numFmtId="0" fontId="13" fillId="0" borderId="0"/>
  </cellStyleXfs>
  <cellXfs count="107">
    <xf numFmtId="0" fontId="0" fillId="0" borderId="0" xfId="0">
      <alignment vertical="center"/>
    </xf>
    <xf numFmtId="176" fontId="11" fillId="2" borderId="6" xfId="0" applyNumberFormat="1" applyFont="1" applyFill="1" applyBorder="1" applyAlignment="1" applyProtection="1">
      <alignment horizontal="right" vertical="center" wrapText="1"/>
    </xf>
    <xf numFmtId="177" fontId="11" fillId="2" borderId="5" xfId="0" applyNumberFormat="1" applyFont="1" applyFill="1" applyBorder="1" applyAlignment="1" applyProtection="1">
      <alignment horizontal="right" vertical="center" wrapText="1"/>
    </xf>
    <xf numFmtId="0" fontId="7" fillId="0" borderId="0" xfId="0" applyFont="1">
      <alignment vertical="center"/>
    </xf>
    <xf numFmtId="177" fontId="10" fillId="3" borderId="5" xfId="4" applyNumberFormat="1" applyFont="1" applyFill="1" applyBorder="1" applyAlignment="1">
      <alignment horizontal="right" vertical="center" wrapText="1"/>
    </xf>
    <xf numFmtId="176" fontId="11" fillId="2" borderId="7" xfId="0" applyNumberFormat="1" applyFont="1" applyFill="1" applyBorder="1" applyAlignment="1" applyProtection="1">
      <alignment horizontal="right" vertical="center" wrapText="1"/>
    </xf>
    <xf numFmtId="0" fontId="10" fillId="3" borderId="8" xfId="4" applyFont="1" applyFill="1" applyBorder="1" applyAlignment="1">
      <alignment horizontal="center" vertical="center" wrapText="1"/>
    </xf>
    <xf numFmtId="0" fontId="12" fillId="2" borderId="6" xfId="0" applyNumberFormat="1" applyFont="1" applyFill="1" applyBorder="1" applyAlignment="1" applyProtection="1">
      <alignment horizontal="left" vertical="center" wrapText="1"/>
    </xf>
    <xf numFmtId="2" fontId="12" fillId="2" borderId="6" xfId="0" applyNumberFormat="1" applyFont="1" applyFill="1" applyBorder="1" applyAlignment="1" applyProtection="1">
      <alignment horizontal="right" vertical="center" wrapText="1"/>
    </xf>
    <xf numFmtId="0" fontId="10" fillId="3" borderId="9" xfId="4" applyFont="1" applyFill="1" applyBorder="1" applyAlignment="1">
      <alignment horizontal="left" vertical="center" wrapText="1"/>
    </xf>
    <xf numFmtId="0" fontId="10" fillId="3" borderId="9" xfId="4" applyFont="1" applyFill="1" applyBorder="1" applyAlignment="1">
      <alignment horizontal="left" vertical="center" wrapText="1"/>
    </xf>
    <xf numFmtId="0" fontId="10" fillId="3" borderId="9" xfId="4" applyFont="1" applyFill="1" applyBorder="1" applyAlignment="1">
      <alignment horizontal="center" vertical="center" wrapText="1"/>
    </xf>
    <xf numFmtId="0" fontId="10" fillId="3" borderId="9" xfId="4" applyFont="1" applyFill="1" applyBorder="1" applyAlignment="1">
      <alignment horizontal="right" vertical="center" wrapText="1"/>
    </xf>
    <xf numFmtId="0" fontId="10" fillId="3" borderId="9" xfId="4" applyFont="1" applyFill="1" applyBorder="1" applyAlignment="1">
      <alignment horizontal="right" vertical="center" wrapText="1"/>
    </xf>
    <xf numFmtId="0" fontId="11" fillId="2" borderId="10" xfId="0" applyNumberFormat="1" applyFont="1" applyFill="1" applyBorder="1" applyAlignment="1" applyProtection="1">
      <alignment vertical="center" wrapText="1"/>
    </xf>
    <xf numFmtId="0" fontId="11" fillId="2" borderId="10" xfId="0" applyNumberFormat="1" applyFont="1" applyFill="1" applyBorder="1" applyAlignment="1" applyProtection="1">
      <alignment horizontal="center" vertical="center" wrapText="1"/>
    </xf>
    <xf numFmtId="176" fontId="11" fillId="2" borderId="10" xfId="0" applyNumberFormat="1" applyFont="1" applyFill="1" applyBorder="1" applyAlignment="1" applyProtection="1">
      <alignment horizontal="right" vertical="center" wrapText="1"/>
    </xf>
    <xf numFmtId="177" fontId="11" fillId="2" borderId="10" xfId="0" applyNumberFormat="1" applyFont="1" applyFill="1" applyBorder="1" applyAlignment="1" applyProtection="1">
      <alignment horizontal="right" vertical="center" wrapText="1"/>
    </xf>
    <xf numFmtId="176" fontId="11" fillId="2" borderId="5" xfId="0" applyNumberFormat="1" applyFont="1" applyFill="1" applyBorder="1" applyAlignment="1" applyProtection="1">
      <alignment horizontal="right" vertical="center" wrapText="1"/>
    </xf>
    <xf numFmtId="0" fontId="12" fillId="2" borderId="6" xfId="0" applyNumberFormat="1" applyFont="1" applyFill="1" applyBorder="1" applyAlignment="1" applyProtection="1">
      <alignment horizontal="center" vertical="center" wrapText="1"/>
    </xf>
    <xf numFmtId="0" fontId="10" fillId="3" borderId="13" xfId="4" applyFont="1" applyFill="1" applyBorder="1" applyAlignment="1">
      <alignment horizontal="center" vertical="center" wrapText="1"/>
    </xf>
    <xf numFmtId="176" fontId="11" fillId="2" borderId="14" xfId="0" applyNumberFormat="1" applyFont="1" applyFill="1" applyBorder="1" applyAlignment="1" applyProtection="1">
      <alignment horizontal="right" vertical="center" wrapText="1"/>
    </xf>
    <xf numFmtId="0" fontId="10" fillId="3" borderId="0" xfId="4" applyFont="1" applyFill="1" applyBorder="1" applyAlignment="1">
      <alignment horizontal="left" vertical="center" wrapText="1"/>
    </xf>
    <xf numFmtId="0" fontId="2" fillId="0" borderId="0" xfId="0" applyFont="1">
      <alignment vertical="center"/>
    </xf>
    <xf numFmtId="0" fontId="11" fillId="2" borderId="5" xfId="0" applyNumberFormat="1" applyFont="1" applyFill="1" applyBorder="1" applyAlignment="1" applyProtection="1">
      <alignment vertical="center" wrapText="1"/>
    </xf>
    <xf numFmtId="0" fontId="0" fillId="0" borderId="5" xfId="0" applyBorder="1">
      <alignment vertical="center"/>
    </xf>
    <xf numFmtId="179" fontId="0" fillId="0" borderId="5" xfId="0" applyNumberFormat="1" applyBorder="1">
      <alignment vertical="center"/>
    </xf>
    <xf numFmtId="2" fontId="13" fillId="4" borderId="15" xfId="5" applyNumberFormat="1" applyFont="1" applyFill="1" applyBorder="1" applyAlignment="1" applyProtection="1">
      <alignment horizontal="right" vertical="center" shrinkToFit="1"/>
    </xf>
    <xf numFmtId="0" fontId="13" fillId="0" borderId="0" xfId="5" applyFont="1"/>
    <xf numFmtId="23" fontId="11" fillId="4" borderId="5" xfId="5" applyNumberFormat="1" applyFont="1" applyFill="1" applyBorder="1" applyAlignment="1" applyProtection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top" wrapText="1"/>
    </xf>
    <xf numFmtId="0" fontId="14" fillId="0" borderId="1" xfId="0" applyFont="1" applyBorder="1">
      <alignment vertical="center"/>
    </xf>
    <xf numFmtId="0" fontId="14" fillId="0" borderId="5" xfId="0" applyFont="1" applyFill="1" applyBorder="1" applyAlignment="1">
      <alignment horizontal="center" vertical="center"/>
    </xf>
    <xf numFmtId="23" fontId="11" fillId="4" borderId="5" xfId="5" applyNumberFormat="1" applyFont="1" applyFill="1" applyBorder="1" applyAlignment="1" applyProtection="1">
      <alignment horizontal="center" vertical="center" wrapText="1"/>
    </xf>
    <xf numFmtId="1" fontId="11" fillId="4" borderId="5" xfId="5" applyNumberFormat="1" applyFont="1" applyFill="1" applyBorder="1" applyAlignment="1" applyProtection="1">
      <alignment horizontal="right" vertical="center" shrinkToFit="1"/>
    </xf>
    <xf numFmtId="2" fontId="11" fillId="4" borderId="5" xfId="0" applyNumberFormat="1" applyFont="1" applyFill="1" applyBorder="1" applyAlignment="1" applyProtection="1">
      <alignment horizontal="right" vertical="center" shrinkToFit="1"/>
    </xf>
    <xf numFmtId="0" fontId="11" fillId="2" borderId="5" xfId="0" applyNumberFormat="1" applyFont="1" applyFill="1" applyBorder="1" applyAlignment="1" applyProtection="1">
      <alignment horizontal="center" vertical="center" wrapText="1"/>
    </xf>
    <xf numFmtId="0" fontId="11" fillId="2" borderId="12" xfId="0" applyNumberFormat="1" applyFont="1" applyFill="1" applyBorder="1" applyAlignment="1" applyProtection="1">
      <alignment horizontal="center" vertical="center" wrapText="1"/>
    </xf>
    <xf numFmtId="177" fontId="11" fillId="2" borderId="11" xfId="0" applyNumberFormat="1" applyFont="1" applyFill="1" applyBorder="1" applyAlignment="1" applyProtection="1">
      <alignment horizontal="right" vertical="center" wrapText="1"/>
    </xf>
    <xf numFmtId="177" fontId="11" fillId="2" borderId="6" xfId="0" applyNumberFormat="1" applyFont="1" applyFill="1" applyBorder="1" applyAlignment="1" applyProtection="1">
      <alignment horizontal="right" vertical="center" wrapText="1"/>
    </xf>
    <xf numFmtId="0" fontId="12" fillId="2" borderId="12" xfId="0" applyNumberFormat="1" applyFont="1" applyFill="1" applyBorder="1" applyAlignment="1" applyProtection="1">
      <alignment horizontal="left" vertical="center" wrapText="1"/>
    </xf>
    <xf numFmtId="0" fontId="10" fillId="3" borderId="9" xfId="4" applyFont="1" applyFill="1" applyBorder="1" applyAlignment="1">
      <alignment horizontal="left" vertical="center" wrapText="1"/>
    </xf>
    <xf numFmtId="0" fontId="10" fillId="3" borderId="9" xfId="4" applyFont="1" applyFill="1" applyBorder="1" applyAlignment="1">
      <alignment horizontal="right" vertical="center" wrapText="1"/>
    </xf>
    <xf numFmtId="0" fontId="14" fillId="0" borderId="16" xfId="0" applyFont="1" applyBorder="1">
      <alignment vertical="center"/>
    </xf>
    <xf numFmtId="9" fontId="14" fillId="0" borderId="16" xfId="0" applyNumberFormat="1" applyFont="1" applyBorder="1">
      <alignment vertical="center"/>
    </xf>
    <xf numFmtId="177" fontId="11" fillId="2" borderId="16" xfId="0" applyNumberFormat="1" applyFont="1" applyFill="1" applyBorder="1" applyAlignment="1" applyProtection="1">
      <alignment horizontal="right" vertical="center" wrapText="1"/>
    </xf>
    <xf numFmtId="0" fontId="10" fillId="3" borderId="5" xfId="4" applyFont="1" applyFill="1" applyBorder="1" applyAlignment="1">
      <alignment horizontal="center" vertical="center" wrapText="1"/>
    </xf>
    <xf numFmtId="0" fontId="14" fillId="0" borderId="5" xfId="0" applyFont="1" applyBorder="1">
      <alignment vertical="center"/>
    </xf>
    <xf numFmtId="0" fontId="14" fillId="0" borderId="14" xfId="0" applyFont="1" applyFill="1" applyBorder="1" applyAlignment="1">
      <alignment horizontal="left" vertical="center" wrapText="1"/>
    </xf>
    <xf numFmtId="0" fontId="14" fillId="0" borderId="14" xfId="0" applyFont="1" applyFill="1" applyBorder="1" applyAlignment="1">
      <alignment horizontal="left" vertical="top" wrapText="1"/>
    </xf>
    <xf numFmtId="0" fontId="14" fillId="0" borderId="14" xfId="0" applyFont="1" applyFill="1" applyBorder="1" applyAlignment="1">
      <alignment horizontal="center" vertical="center"/>
    </xf>
    <xf numFmtId="176" fontId="11" fillId="2" borderId="17" xfId="0" applyNumberFormat="1" applyFont="1" applyFill="1" applyBorder="1" applyAlignment="1" applyProtection="1">
      <alignment horizontal="right" vertical="center" wrapText="1"/>
    </xf>
    <xf numFmtId="0" fontId="10" fillId="0" borderId="18" xfId="4" applyFont="1" applyFill="1" applyBorder="1" applyAlignment="1">
      <alignment horizontal="right" vertical="center" wrapText="1"/>
    </xf>
    <xf numFmtId="177" fontId="10" fillId="3" borderId="14" xfId="4" applyNumberFormat="1" applyFont="1" applyFill="1" applyBorder="1" applyAlignment="1">
      <alignment horizontal="right" vertical="center" wrapText="1"/>
    </xf>
    <xf numFmtId="0" fontId="11" fillId="2" borderId="7" xfId="0" applyNumberFormat="1" applyFont="1" applyFill="1" applyBorder="1" applyAlignment="1" applyProtection="1">
      <alignment horizontal="left" vertical="center" wrapText="1"/>
    </xf>
    <xf numFmtId="0" fontId="14" fillId="0" borderId="10" xfId="0" applyFont="1" applyFill="1" applyBorder="1" applyAlignment="1">
      <alignment horizontal="center" vertical="center"/>
    </xf>
    <xf numFmtId="2" fontId="11" fillId="2" borderId="7" xfId="0" applyNumberFormat="1" applyFont="1" applyFill="1" applyBorder="1" applyAlignment="1" applyProtection="1">
      <alignment horizontal="right" vertical="center" wrapText="1"/>
    </xf>
    <xf numFmtId="177" fontId="10" fillId="3" borderId="10" xfId="4" applyNumberFormat="1" applyFont="1" applyFill="1" applyBorder="1" applyAlignment="1">
      <alignment horizontal="right" vertical="center" wrapText="1"/>
    </xf>
    <xf numFmtId="0" fontId="10" fillId="3" borderId="5" xfId="4" applyFont="1" applyFill="1" applyBorder="1" applyAlignment="1">
      <alignment horizontal="right" vertical="center" wrapText="1"/>
    </xf>
    <xf numFmtId="23" fontId="11" fillId="4" borderId="0" xfId="5" applyNumberFormat="1" applyFont="1" applyFill="1" applyBorder="1" applyAlignment="1" applyProtection="1">
      <alignment horizontal="left" vertical="center" wrapText="1"/>
    </xf>
    <xf numFmtId="23" fontId="11" fillId="4" borderId="14" xfId="5" applyNumberFormat="1" applyFont="1" applyFill="1" applyBorder="1" applyAlignment="1" applyProtection="1">
      <alignment horizontal="left" vertical="center" wrapText="1"/>
    </xf>
    <xf numFmtId="2" fontId="11" fillId="4" borderId="14" xfId="0" applyNumberFormat="1" applyFont="1" applyFill="1" applyBorder="1" applyAlignment="1" applyProtection="1">
      <alignment horizontal="right" vertical="center" shrinkToFit="1"/>
    </xf>
    <xf numFmtId="2" fontId="13" fillId="4" borderId="0" xfId="5" applyNumberFormat="1" applyFont="1" applyFill="1" applyBorder="1" applyAlignment="1" applyProtection="1">
      <alignment horizontal="right" vertical="center" shrinkToFit="1"/>
    </xf>
    <xf numFmtId="0" fontId="11" fillId="2" borderId="19" xfId="0" applyNumberFormat="1" applyFont="1" applyFill="1" applyBorder="1" applyAlignment="1" applyProtection="1">
      <alignment vertical="center" wrapText="1"/>
    </xf>
    <xf numFmtId="0" fontId="10" fillId="0" borderId="19" xfId="0" applyFont="1" applyFill="1" applyBorder="1" applyAlignment="1">
      <alignment horizontal="left" vertical="top" wrapText="1"/>
    </xf>
    <xf numFmtId="0" fontId="11" fillId="2" borderId="19" xfId="0" applyNumberFormat="1" applyFont="1" applyFill="1" applyBorder="1" applyAlignment="1" applyProtection="1">
      <alignment horizontal="center" vertical="center" wrapText="1"/>
    </xf>
    <xf numFmtId="0" fontId="10" fillId="3" borderId="5" xfId="4" applyFont="1" applyFill="1" applyBorder="1" applyAlignment="1">
      <alignment horizontal="left" vertical="center" wrapText="1"/>
    </xf>
    <xf numFmtId="0" fontId="11" fillId="2" borderId="5" xfId="0" applyNumberFormat="1" applyFont="1" applyFill="1" applyBorder="1" applyAlignment="1" applyProtection="1">
      <alignment horizontal="left" vertical="center" wrapText="1"/>
    </xf>
    <xf numFmtId="2" fontId="11" fillId="2" borderId="5" xfId="0" applyNumberFormat="1" applyFont="1" applyFill="1" applyBorder="1" applyAlignment="1" applyProtection="1">
      <alignment horizontal="right" vertical="center" wrapText="1"/>
    </xf>
    <xf numFmtId="0" fontId="13" fillId="2" borderId="20" xfId="0" applyNumberFormat="1" applyFont="1" applyFill="1" applyBorder="1" applyAlignment="1" applyProtection="1">
      <alignment horizontal="left" vertical="center" wrapText="1"/>
    </xf>
    <xf numFmtId="0" fontId="17" fillId="0" borderId="20" xfId="0" applyFont="1" applyFill="1" applyBorder="1" applyAlignment="1">
      <alignment horizontal="center" vertical="center"/>
    </xf>
    <xf numFmtId="176" fontId="13" fillId="2" borderId="20" xfId="0" applyNumberFormat="1" applyFont="1" applyFill="1" applyBorder="1" applyAlignment="1" applyProtection="1">
      <alignment horizontal="right" vertical="center" wrapText="1"/>
    </xf>
    <xf numFmtId="2" fontId="13" fillId="2" borderId="21" xfId="0" applyNumberFormat="1" applyFont="1" applyFill="1" applyBorder="1" applyAlignment="1" applyProtection="1">
      <alignment horizontal="right" vertical="center" wrapText="1"/>
    </xf>
    <xf numFmtId="177" fontId="16" fillId="3" borderId="20" xfId="4" applyNumberFormat="1" applyFont="1" applyFill="1" applyBorder="1" applyAlignment="1">
      <alignment horizontal="right" vertical="center" wrapText="1"/>
    </xf>
    <xf numFmtId="0" fontId="13" fillId="2" borderId="20" xfId="0" applyNumberFormat="1" applyFont="1" applyFill="1" applyBorder="1" applyAlignment="1" applyProtection="1">
      <alignment horizontal="center" vertical="center" wrapText="1"/>
    </xf>
    <xf numFmtId="0" fontId="13" fillId="2" borderId="12" xfId="0" applyNumberFormat="1" applyFont="1" applyFill="1" applyBorder="1" applyAlignment="1" applyProtection="1">
      <alignment horizontal="center" vertical="center" wrapText="1"/>
    </xf>
    <xf numFmtId="176" fontId="13" fillId="2" borderId="6" xfId="0" applyNumberFormat="1" applyFont="1" applyFill="1" applyBorder="1" applyAlignment="1" applyProtection="1">
      <alignment horizontal="right" vertical="center" wrapText="1"/>
    </xf>
    <xf numFmtId="0" fontId="13" fillId="2" borderId="19" xfId="0" applyNumberFormat="1" applyFont="1" applyFill="1" applyBorder="1" applyAlignment="1" applyProtection="1">
      <alignment vertical="center" wrapText="1"/>
    </xf>
    <xf numFmtId="176" fontId="13" fillId="2" borderId="19" xfId="0" applyNumberFormat="1" applyFont="1" applyFill="1" applyBorder="1" applyAlignment="1" applyProtection="1">
      <alignment horizontal="right" vertical="center" wrapText="1"/>
    </xf>
    <xf numFmtId="177" fontId="13" fillId="2" borderId="22" xfId="0" applyNumberFormat="1" applyFont="1" applyFill="1" applyBorder="1" applyAlignment="1" applyProtection="1">
      <alignment horizontal="right" vertical="center" wrapText="1"/>
    </xf>
    <xf numFmtId="177" fontId="13" fillId="2" borderId="19" xfId="0" applyNumberFormat="1" applyFont="1" applyFill="1" applyBorder="1" applyAlignment="1" applyProtection="1">
      <alignment horizontal="right" vertical="center" wrapText="1"/>
    </xf>
    <xf numFmtId="0" fontId="17" fillId="0" borderId="20" xfId="0" applyFont="1" applyFill="1" applyBorder="1" applyAlignment="1">
      <alignment horizontal="left" vertical="center" wrapText="1"/>
    </xf>
    <xf numFmtId="0" fontId="17" fillId="0" borderId="20" xfId="0" applyFont="1" applyFill="1" applyBorder="1" applyAlignment="1">
      <alignment horizontal="left" vertical="top" wrapText="1"/>
    </xf>
    <xf numFmtId="0" fontId="18" fillId="0" borderId="20" xfId="0" applyFont="1" applyFill="1" applyBorder="1" applyAlignment="1">
      <alignment horizontal="left" vertical="top" wrapText="1"/>
    </xf>
    <xf numFmtId="2" fontId="13" fillId="4" borderId="20" xfId="0" applyNumberFormat="1" applyFont="1" applyFill="1" applyBorder="1" applyAlignment="1" applyProtection="1">
      <alignment horizontal="right" vertical="center" shrinkToFit="1"/>
    </xf>
    <xf numFmtId="0" fontId="16" fillId="3" borderId="23" xfId="4" applyFont="1" applyFill="1" applyBorder="1" applyAlignment="1">
      <alignment horizontal="left" vertical="center" wrapText="1"/>
    </xf>
    <xf numFmtId="0" fontId="13" fillId="2" borderId="16" xfId="0" applyNumberFormat="1" applyFont="1" applyFill="1" applyBorder="1" applyAlignment="1" applyProtection="1">
      <alignment horizontal="left" vertical="center" wrapText="1"/>
    </xf>
    <xf numFmtId="176" fontId="13" fillId="2" borderId="16" xfId="0" applyNumberFormat="1" applyFont="1" applyFill="1" applyBorder="1" applyAlignment="1" applyProtection="1">
      <alignment horizontal="right" vertical="center" wrapText="1"/>
    </xf>
    <xf numFmtId="0" fontId="16" fillId="3" borderId="16" xfId="4" applyFont="1" applyFill="1" applyBorder="1" applyAlignment="1">
      <alignment horizontal="right" vertical="center" wrapText="1"/>
    </xf>
    <xf numFmtId="0" fontId="13" fillId="2" borderId="6" xfId="0" applyNumberFormat="1" applyFont="1" applyFill="1" applyBorder="1" applyAlignment="1" applyProtection="1">
      <alignment horizontal="left" vertical="center" wrapText="1"/>
    </xf>
    <xf numFmtId="2" fontId="13" fillId="2" borderId="11" xfId="0" applyNumberFormat="1" applyFont="1" applyFill="1" applyBorder="1" applyAlignment="1" applyProtection="1">
      <alignment horizontal="right" vertical="center" wrapText="1"/>
    </xf>
    <xf numFmtId="0" fontId="11" fillId="2" borderId="20" xfId="0" applyNumberFormat="1" applyFont="1" applyFill="1" applyBorder="1" applyAlignment="1" applyProtection="1">
      <alignment horizontal="left" vertical="center" wrapText="1"/>
    </xf>
    <xf numFmtId="2" fontId="13" fillId="2" borderId="22" xfId="0" applyNumberFormat="1" applyFont="1" applyFill="1" applyBorder="1" applyAlignment="1" applyProtection="1">
      <alignment horizontal="right" vertical="center" wrapText="1"/>
    </xf>
    <xf numFmtId="0" fontId="11" fillId="2" borderId="19" xfId="0" applyNumberFormat="1" applyFont="1" applyFill="1" applyBorder="1" applyAlignment="1" applyProtection="1">
      <alignment horizontal="left" vertical="center" wrapText="1"/>
    </xf>
    <xf numFmtId="0" fontId="14" fillId="0" borderId="19" xfId="0" applyFont="1" applyFill="1" applyBorder="1" applyAlignment="1">
      <alignment horizontal="center" vertical="center"/>
    </xf>
    <xf numFmtId="0" fontId="10" fillId="3" borderId="9" xfId="4" applyFont="1" applyFill="1" applyBorder="1" applyAlignment="1">
      <alignment horizontal="right" vertical="center" wrapText="1"/>
    </xf>
    <xf numFmtId="0" fontId="10" fillId="3" borderId="9" xfId="4" applyFont="1" applyFill="1" applyBorder="1" applyAlignment="1">
      <alignment horizontal="left" vertical="center" wrapText="1"/>
    </xf>
    <xf numFmtId="178" fontId="12" fillId="2" borderId="11" xfId="0" applyNumberFormat="1" applyFont="1" applyFill="1" applyBorder="1" applyAlignment="1" applyProtection="1">
      <alignment horizontal="right" vertical="center" wrapText="1"/>
    </xf>
    <xf numFmtId="178" fontId="12" fillId="2" borderId="12" xfId="0" applyNumberFormat="1" applyFont="1" applyFill="1" applyBorder="1" applyAlignment="1" applyProtection="1">
      <alignment horizontal="right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6">
    <cellStyle name="Normal" xfId="4"/>
    <cellStyle name="常规" xfId="0" builtinId="0"/>
    <cellStyle name="常规 2" xfId="1"/>
    <cellStyle name="常规 2 2" xfId="3"/>
    <cellStyle name="常规 3" xfId="2"/>
    <cellStyle name="常规_湛江中心人民医院核医学科防护装饰工程-电气工程(单位工程)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343455</xdr:colOff>
      <xdr:row>3</xdr:row>
      <xdr:rowOff>57150</xdr:rowOff>
    </xdr:from>
    <xdr:to>
      <xdr:col>19</xdr:col>
      <xdr:colOff>627323</xdr:colOff>
      <xdr:row>10</xdr:row>
      <xdr:rowOff>408596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730" y="828675"/>
          <a:ext cx="7627643" cy="5628296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504825</xdr:colOff>
      <xdr:row>11</xdr:row>
      <xdr:rowOff>1192114</xdr:rowOff>
    </xdr:from>
    <xdr:to>
      <xdr:col>20</xdr:col>
      <xdr:colOff>331936</xdr:colOff>
      <xdr:row>15</xdr:row>
      <xdr:rowOff>85383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5300" y="7307164"/>
          <a:ext cx="7856686" cy="1865069"/>
        </a:xfrm>
        <a:prstGeom prst="rect">
          <a:avLst/>
        </a:prstGeom>
      </xdr:spPr>
    </xdr:pic>
    <xdr:clientData/>
  </xdr:twoCellAnchor>
  <xdr:twoCellAnchor editAs="oneCell">
    <xdr:from>
      <xdr:col>7</xdr:col>
      <xdr:colOff>133905</xdr:colOff>
      <xdr:row>4</xdr:row>
      <xdr:rowOff>38100</xdr:rowOff>
    </xdr:from>
    <xdr:to>
      <xdr:col>27</xdr:col>
      <xdr:colOff>46416</xdr:colOff>
      <xdr:row>6</xdr:row>
      <xdr:rowOff>485590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72780" y="1600200"/>
          <a:ext cx="14114286" cy="14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tabSelected="1" topLeftCell="A31" workbookViewId="0">
      <selection activeCell="F40" sqref="F40"/>
    </sheetView>
  </sheetViews>
  <sheetFormatPr defaultRowHeight="13.5" x14ac:dyDescent="0.15"/>
  <cols>
    <col min="1" max="1" width="5.5" bestFit="1" customWidth="1"/>
    <col min="2" max="2" width="10" customWidth="1"/>
    <col min="3" max="3" width="26.375" customWidth="1"/>
    <col min="4" max="5" width="9.5" bestFit="1" customWidth="1"/>
    <col min="6" max="6" width="9.375" customWidth="1"/>
    <col min="7" max="7" width="11.625" bestFit="1" customWidth="1"/>
    <col min="10" max="10" width="15.375" customWidth="1"/>
  </cols>
  <sheetData>
    <row r="1" spans="1:16" ht="22.5" customHeight="1" x14ac:dyDescent="0.15">
      <c r="A1" s="100" t="s">
        <v>64</v>
      </c>
      <c r="B1" s="100"/>
      <c r="C1" s="100"/>
      <c r="D1" s="100"/>
      <c r="E1" s="100"/>
      <c r="F1" s="100"/>
      <c r="G1" s="100"/>
    </row>
    <row r="2" spans="1:16" ht="14.25" x14ac:dyDescent="0.15">
      <c r="A2" s="101" t="s">
        <v>12</v>
      </c>
      <c r="B2" s="102"/>
      <c r="C2" s="102"/>
      <c r="D2" s="102"/>
      <c r="E2" s="102"/>
      <c r="F2" s="102"/>
      <c r="G2" s="103"/>
    </row>
    <row r="3" spans="1:16" ht="24" customHeight="1" x14ac:dyDescent="0.15">
      <c r="A3" s="32" t="s">
        <v>0</v>
      </c>
      <c r="B3" s="32" t="s">
        <v>1</v>
      </c>
      <c r="C3" s="32" t="s">
        <v>2</v>
      </c>
      <c r="D3" s="32" t="s">
        <v>3</v>
      </c>
      <c r="E3" s="32" t="s">
        <v>4</v>
      </c>
      <c r="F3" s="32" t="s">
        <v>5</v>
      </c>
      <c r="G3" s="32" t="s">
        <v>6</v>
      </c>
    </row>
    <row r="4" spans="1:16" ht="62.25" customHeight="1" x14ac:dyDescent="0.15">
      <c r="A4" s="6">
        <v>1</v>
      </c>
      <c r="B4" s="49" t="s">
        <v>13</v>
      </c>
      <c r="C4" s="50" t="s">
        <v>58</v>
      </c>
      <c r="D4" s="51" t="s">
        <v>11</v>
      </c>
      <c r="E4" s="52">
        <f>848.07+271.31+2.9*2.65*2-1*2.4</f>
        <v>1132.3499999999999</v>
      </c>
      <c r="F4" s="53">
        <v>150</v>
      </c>
      <c r="G4" s="54">
        <f t="shared" ref="G4:G13" si="0">E4*F4</f>
        <v>169852.5</v>
      </c>
    </row>
    <row r="5" spans="1:16" ht="40.5" customHeight="1" x14ac:dyDescent="0.15">
      <c r="A5" s="6">
        <v>2</v>
      </c>
      <c r="B5" s="30" t="s">
        <v>14</v>
      </c>
      <c r="C5" s="31" t="s">
        <v>15</v>
      </c>
      <c r="D5" s="33" t="s">
        <v>16</v>
      </c>
      <c r="E5" s="18">
        <f>8*2.65*2+4*2.65*14+3*2.65*1+4*2.65+4*2.65</f>
        <v>219.95</v>
      </c>
      <c r="F5" s="59">
        <v>25</v>
      </c>
      <c r="G5" s="4">
        <f t="shared" si="0"/>
        <v>5498.75</v>
      </c>
      <c r="L5" s="3" t="s">
        <v>10</v>
      </c>
    </row>
    <row r="6" spans="1:16" ht="40.5" customHeight="1" x14ac:dyDescent="0.15">
      <c r="A6" s="6">
        <v>3</v>
      </c>
      <c r="B6" s="30" t="s">
        <v>65</v>
      </c>
      <c r="C6" s="31" t="s">
        <v>108</v>
      </c>
      <c r="D6" s="56" t="s">
        <v>11</v>
      </c>
      <c r="E6" s="5">
        <f>26.98+26.46*14+28.51*2+225.84</f>
        <v>680.28</v>
      </c>
      <c r="F6" s="59">
        <v>25</v>
      </c>
      <c r="G6" s="4">
        <f t="shared" si="0"/>
        <v>17007</v>
      </c>
      <c r="L6" s="3"/>
    </row>
    <row r="7" spans="1:16" ht="105.75" customHeight="1" x14ac:dyDescent="0.15">
      <c r="A7" s="6">
        <v>4</v>
      </c>
      <c r="B7" s="55" t="s">
        <v>17</v>
      </c>
      <c r="C7" s="55" t="s">
        <v>72</v>
      </c>
      <c r="D7" s="56" t="s">
        <v>11</v>
      </c>
      <c r="E7" s="5">
        <f>26.98+26.46*14+28.51*2+225.84</f>
        <v>680.28</v>
      </c>
      <c r="F7" s="57">
        <v>254.06</v>
      </c>
      <c r="G7" s="58">
        <f t="shared" si="0"/>
        <v>172831.9368</v>
      </c>
      <c r="H7" t="s">
        <v>57</v>
      </c>
    </row>
    <row r="8" spans="1:16" s="28" customFormat="1" ht="58.7" customHeight="1" x14ac:dyDescent="0.15">
      <c r="A8" s="6">
        <v>5</v>
      </c>
      <c r="B8" s="29" t="s">
        <v>53</v>
      </c>
      <c r="C8" s="29" t="s">
        <v>55</v>
      </c>
      <c r="D8" s="34" t="s">
        <v>54</v>
      </c>
      <c r="E8" s="35">
        <f>17*3+38</f>
        <v>89</v>
      </c>
      <c r="F8" s="36">
        <v>480</v>
      </c>
      <c r="G8" s="4">
        <f t="shared" si="0"/>
        <v>42720</v>
      </c>
      <c r="H8" s="27"/>
    </row>
    <row r="9" spans="1:16" s="28" customFormat="1" ht="58.7" customHeight="1" x14ac:dyDescent="0.15">
      <c r="A9" s="6">
        <v>6</v>
      </c>
      <c r="B9" s="60" t="s">
        <v>68</v>
      </c>
      <c r="C9" s="61" t="s">
        <v>67</v>
      </c>
      <c r="D9" s="20" t="s">
        <v>19</v>
      </c>
      <c r="E9" s="21">
        <f>1.3*2.4*17</f>
        <v>53.04</v>
      </c>
      <c r="F9" s="62">
        <v>60</v>
      </c>
      <c r="G9" s="54">
        <f t="shared" si="0"/>
        <v>3182.4</v>
      </c>
      <c r="H9" s="63"/>
    </row>
    <row r="10" spans="1:16" ht="49.5" customHeight="1" x14ac:dyDescent="0.15">
      <c r="A10" s="6">
        <v>7</v>
      </c>
      <c r="B10" s="67" t="s">
        <v>59</v>
      </c>
      <c r="C10" s="68" t="s">
        <v>66</v>
      </c>
      <c r="D10" s="47" t="s">
        <v>19</v>
      </c>
      <c r="E10" s="18">
        <f>1.3*2.4*17</f>
        <v>53.04</v>
      </c>
      <c r="F10" s="59">
        <v>1150</v>
      </c>
      <c r="G10" s="4">
        <f t="shared" si="0"/>
        <v>60996</v>
      </c>
      <c r="I10" s="9" t="s">
        <v>18</v>
      </c>
      <c r="J10" s="97" t="s">
        <v>21</v>
      </c>
      <c r="K10" s="97"/>
      <c r="L10" s="11" t="s">
        <v>19</v>
      </c>
      <c r="M10" s="12">
        <v>27.6</v>
      </c>
      <c r="N10" s="96">
        <v>1135.1199999999999</v>
      </c>
      <c r="O10" s="96"/>
      <c r="P10" s="12">
        <v>31329.31</v>
      </c>
    </row>
    <row r="11" spans="1:16" ht="49.5" customHeight="1" x14ac:dyDescent="0.15">
      <c r="A11" s="6">
        <v>8</v>
      </c>
      <c r="B11" s="67" t="s">
        <v>69</v>
      </c>
      <c r="C11" s="68" t="s">
        <v>71</v>
      </c>
      <c r="D11" s="37" t="s">
        <v>19</v>
      </c>
      <c r="E11" s="18">
        <f>1.26*2.9+1.8*2.9*16</f>
        <v>87.173999999999992</v>
      </c>
      <c r="F11" s="59">
        <v>60</v>
      </c>
      <c r="G11" s="4">
        <f t="shared" si="0"/>
        <v>5230.4399999999996</v>
      </c>
      <c r="I11" s="42"/>
      <c r="J11" s="42"/>
      <c r="K11" s="42"/>
      <c r="L11" s="11"/>
      <c r="M11" s="43"/>
      <c r="N11" s="43"/>
      <c r="O11" s="43"/>
      <c r="P11" s="43"/>
    </row>
    <row r="12" spans="1:16" ht="102" customHeight="1" x14ac:dyDescent="0.15">
      <c r="A12" s="6">
        <v>9</v>
      </c>
      <c r="B12" s="68" t="s">
        <v>23</v>
      </c>
      <c r="C12" s="68" t="s">
        <v>70</v>
      </c>
      <c r="D12" s="37" t="s">
        <v>19</v>
      </c>
      <c r="E12" s="18">
        <f>1.26*2.9+1.8*2.9*16</f>
        <v>87.173999999999992</v>
      </c>
      <c r="F12" s="69">
        <v>750</v>
      </c>
      <c r="G12" s="4">
        <f t="shared" si="0"/>
        <v>65380.499999999993</v>
      </c>
      <c r="I12" s="10"/>
      <c r="J12" s="10"/>
      <c r="K12" s="10"/>
      <c r="L12" s="11"/>
      <c r="M12" s="13"/>
      <c r="N12" s="13"/>
      <c r="O12" s="13"/>
      <c r="P12" s="13"/>
    </row>
    <row r="13" spans="1:16" ht="32.25" customHeight="1" x14ac:dyDescent="0.15">
      <c r="A13" s="6">
        <v>10</v>
      </c>
      <c r="B13" s="64" t="s">
        <v>35</v>
      </c>
      <c r="C13" s="65" t="s">
        <v>52</v>
      </c>
      <c r="D13" s="66" t="s">
        <v>56</v>
      </c>
      <c r="E13" s="64">
        <v>579.59</v>
      </c>
      <c r="F13" s="64">
        <v>20</v>
      </c>
      <c r="G13" s="64">
        <f t="shared" si="0"/>
        <v>11591.800000000001</v>
      </c>
    </row>
    <row r="14" spans="1:16" ht="48.75" customHeight="1" x14ac:dyDescent="0.15">
      <c r="A14" s="6">
        <v>11</v>
      </c>
      <c r="B14" s="24" t="s">
        <v>60</v>
      </c>
      <c r="C14" s="24" t="s">
        <v>62</v>
      </c>
      <c r="D14" s="38" t="s">
        <v>61</v>
      </c>
      <c r="E14" s="1">
        <f>26.98*2+26.46*13+28.51*2</f>
        <v>454.96</v>
      </c>
      <c r="F14" s="39">
        <v>130</v>
      </c>
      <c r="G14" s="40">
        <f>E14*F14</f>
        <v>59144.799999999996</v>
      </c>
      <c r="H14" s="41"/>
    </row>
    <row r="15" spans="1:16" ht="51" customHeight="1" x14ac:dyDescent="0.15">
      <c r="A15" s="6">
        <v>12</v>
      </c>
      <c r="B15" s="92" t="s">
        <v>107</v>
      </c>
      <c r="C15" s="92" t="s">
        <v>106</v>
      </c>
      <c r="D15" s="71" t="s">
        <v>73</v>
      </c>
      <c r="E15" s="72">
        <f>17*4+15</f>
        <v>83</v>
      </c>
      <c r="F15" s="73">
        <v>20</v>
      </c>
      <c r="G15" s="40">
        <f t="shared" ref="G15:G34" si="1">E15*F15</f>
        <v>1660</v>
      </c>
    </row>
    <row r="16" spans="1:16" ht="51" customHeight="1" x14ac:dyDescent="0.15">
      <c r="A16" s="6">
        <v>13</v>
      </c>
      <c r="B16" s="70" t="s">
        <v>74</v>
      </c>
      <c r="C16" s="70" t="s">
        <v>75</v>
      </c>
      <c r="D16" s="71" t="s">
        <v>76</v>
      </c>
      <c r="E16" s="72">
        <v>17</v>
      </c>
      <c r="F16" s="73">
        <v>100</v>
      </c>
      <c r="G16" s="40">
        <f t="shared" si="1"/>
        <v>1700</v>
      </c>
    </row>
    <row r="17" spans="1:7" ht="51" customHeight="1" x14ac:dyDescent="0.15">
      <c r="A17" s="6">
        <v>14</v>
      </c>
      <c r="B17" s="70" t="s">
        <v>77</v>
      </c>
      <c r="C17" s="70" t="s">
        <v>78</v>
      </c>
      <c r="D17" s="75" t="s">
        <v>73</v>
      </c>
      <c r="E17" s="72">
        <v>17</v>
      </c>
      <c r="F17" s="73">
        <v>50</v>
      </c>
      <c r="G17" s="74">
        <f t="shared" si="1"/>
        <v>850</v>
      </c>
    </row>
    <row r="18" spans="1:7" ht="51" customHeight="1" x14ac:dyDescent="0.15">
      <c r="A18" s="6">
        <v>15</v>
      </c>
      <c r="B18" s="70" t="s">
        <v>79</v>
      </c>
      <c r="C18" s="70" t="s">
        <v>80</v>
      </c>
      <c r="D18" s="75" t="s">
        <v>19</v>
      </c>
      <c r="E18" s="72">
        <f>0.6*0.9*21</f>
        <v>11.34</v>
      </c>
      <c r="F18" s="73">
        <v>80</v>
      </c>
      <c r="G18" s="74">
        <f t="shared" si="1"/>
        <v>907.2</v>
      </c>
    </row>
    <row r="19" spans="1:7" ht="51" customHeight="1" x14ac:dyDescent="0.15">
      <c r="A19" s="6">
        <v>16</v>
      </c>
      <c r="B19" s="78" t="s">
        <v>81</v>
      </c>
      <c r="C19" s="78" t="s">
        <v>82</v>
      </c>
      <c r="D19" s="76" t="s">
        <v>73</v>
      </c>
      <c r="E19" s="79">
        <f>17*2</f>
        <v>34</v>
      </c>
      <c r="F19" s="80">
        <v>150</v>
      </c>
      <c r="G19" s="81">
        <f t="shared" si="1"/>
        <v>5100</v>
      </c>
    </row>
    <row r="20" spans="1:7" ht="51" customHeight="1" x14ac:dyDescent="0.15">
      <c r="A20" s="6">
        <v>17</v>
      </c>
      <c r="B20" s="78" t="s">
        <v>83</v>
      </c>
      <c r="C20" s="78" t="s">
        <v>84</v>
      </c>
      <c r="D20" s="76" t="s">
        <v>19</v>
      </c>
      <c r="E20" s="79">
        <v>234.26</v>
      </c>
      <c r="F20" s="80">
        <v>25</v>
      </c>
      <c r="G20" s="81">
        <f t="shared" si="1"/>
        <v>5856.5</v>
      </c>
    </row>
    <row r="21" spans="1:7" ht="39" customHeight="1" x14ac:dyDescent="0.15">
      <c r="A21" s="6">
        <v>18</v>
      </c>
      <c r="B21" s="82" t="s">
        <v>85</v>
      </c>
      <c r="C21" s="83" t="s">
        <v>86</v>
      </c>
      <c r="D21" s="71" t="s">
        <v>73</v>
      </c>
      <c r="E21" s="77">
        <f>4*17</f>
        <v>68</v>
      </c>
      <c r="F21" s="80">
        <v>150</v>
      </c>
      <c r="G21" s="81">
        <f t="shared" si="1"/>
        <v>10200</v>
      </c>
    </row>
    <row r="22" spans="1:7" ht="51" customHeight="1" x14ac:dyDescent="0.15">
      <c r="A22" s="6">
        <v>19</v>
      </c>
      <c r="B22" s="82" t="s">
        <v>87</v>
      </c>
      <c r="C22" s="84" t="s">
        <v>88</v>
      </c>
      <c r="D22" s="71" t="s">
        <v>73</v>
      </c>
      <c r="E22" s="72">
        <v>17</v>
      </c>
      <c r="F22" s="80">
        <v>50</v>
      </c>
      <c r="G22" s="81">
        <f t="shared" si="1"/>
        <v>850</v>
      </c>
    </row>
    <row r="23" spans="1:7" ht="51" customHeight="1" x14ac:dyDescent="0.15">
      <c r="A23" s="6">
        <v>20</v>
      </c>
      <c r="B23" s="82" t="s">
        <v>87</v>
      </c>
      <c r="C23" s="84" t="s">
        <v>89</v>
      </c>
      <c r="D23" s="71" t="s">
        <v>73</v>
      </c>
      <c r="E23" s="72">
        <v>19</v>
      </c>
      <c r="F23" s="80">
        <v>50</v>
      </c>
      <c r="G23" s="81">
        <f t="shared" si="1"/>
        <v>950</v>
      </c>
    </row>
    <row r="24" spans="1:7" ht="51" customHeight="1" x14ac:dyDescent="0.15">
      <c r="A24" s="6">
        <v>21</v>
      </c>
      <c r="B24" s="82" t="s">
        <v>87</v>
      </c>
      <c r="C24" s="84" t="s">
        <v>90</v>
      </c>
      <c r="D24" s="71" t="s">
        <v>73</v>
      </c>
      <c r="E24" s="72">
        <f>17+19</f>
        <v>36</v>
      </c>
      <c r="F24" s="85">
        <v>60</v>
      </c>
      <c r="G24" s="81">
        <f t="shared" si="1"/>
        <v>2160</v>
      </c>
    </row>
    <row r="25" spans="1:7" ht="51" customHeight="1" x14ac:dyDescent="0.15">
      <c r="A25" s="6">
        <v>22</v>
      </c>
      <c r="B25" s="86" t="s">
        <v>91</v>
      </c>
      <c r="C25" s="87" t="s">
        <v>92</v>
      </c>
      <c r="D25" s="71" t="s">
        <v>73</v>
      </c>
      <c r="E25" s="88">
        <v>20</v>
      </c>
      <c r="F25" s="89">
        <v>200</v>
      </c>
      <c r="G25" s="81">
        <f t="shared" si="1"/>
        <v>4000</v>
      </c>
    </row>
    <row r="26" spans="1:7" ht="51" customHeight="1" x14ac:dyDescent="0.15">
      <c r="A26" s="6">
        <v>23</v>
      </c>
      <c r="B26" s="90" t="s">
        <v>93</v>
      </c>
      <c r="C26" s="90" t="s">
        <v>94</v>
      </c>
      <c r="D26" s="71" t="s">
        <v>73</v>
      </c>
      <c r="E26" s="72">
        <f>5*17</f>
        <v>85</v>
      </c>
      <c r="F26" s="91">
        <v>50</v>
      </c>
      <c r="G26" s="81">
        <f t="shared" si="1"/>
        <v>4250</v>
      </c>
    </row>
    <row r="27" spans="1:7" ht="51" customHeight="1" x14ac:dyDescent="0.15">
      <c r="A27" s="6">
        <v>24</v>
      </c>
      <c r="B27" s="70" t="s">
        <v>95</v>
      </c>
      <c r="C27" s="70" t="s">
        <v>96</v>
      </c>
      <c r="D27" s="71" t="s">
        <v>97</v>
      </c>
      <c r="E27" s="72">
        <f>17*2</f>
        <v>34</v>
      </c>
      <c r="F27" s="73">
        <v>250</v>
      </c>
      <c r="G27" s="81">
        <f t="shared" si="1"/>
        <v>8500</v>
      </c>
    </row>
    <row r="28" spans="1:7" ht="51" customHeight="1" x14ac:dyDescent="0.15">
      <c r="A28" s="6">
        <v>25</v>
      </c>
      <c r="B28" s="70" t="s">
        <v>98</v>
      </c>
      <c r="C28" s="70" t="s">
        <v>99</v>
      </c>
      <c r="D28" s="71" t="s">
        <v>100</v>
      </c>
      <c r="E28" s="72">
        <f>1.32*17+1*17</f>
        <v>39.44</v>
      </c>
      <c r="F28" s="73">
        <v>30</v>
      </c>
      <c r="G28" s="81">
        <f t="shared" si="1"/>
        <v>1183.1999999999998</v>
      </c>
    </row>
    <row r="29" spans="1:7" ht="51" customHeight="1" x14ac:dyDescent="0.15">
      <c r="A29" s="6">
        <v>26</v>
      </c>
      <c r="B29" s="70" t="s">
        <v>101</v>
      </c>
      <c r="C29" s="70" t="s">
        <v>102</v>
      </c>
      <c r="D29" s="71" t="s">
        <v>100</v>
      </c>
      <c r="E29" s="72">
        <f>77*17</f>
        <v>1309</v>
      </c>
      <c r="F29" s="73">
        <v>30</v>
      </c>
      <c r="G29" s="81">
        <f t="shared" si="1"/>
        <v>39270</v>
      </c>
    </row>
    <row r="30" spans="1:7" ht="51" customHeight="1" x14ac:dyDescent="0.15">
      <c r="A30" s="6">
        <v>27</v>
      </c>
      <c r="B30" s="70" t="s">
        <v>103</v>
      </c>
      <c r="C30" s="92" t="s">
        <v>109</v>
      </c>
      <c r="D30" s="71" t="s">
        <v>19</v>
      </c>
      <c r="E30" s="72">
        <f>2.1*2.7*17</f>
        <v>96.390000000000015</v>
      </c>
      <c r="F30" s="73">
        <v>40</v>
      </c>
      <c r="G30" s="81">
        <f t="shared" si="1"/>
        <v>3855.6000000000004</v>
      </c>
    </row>
    <row r="31" spans="1:7" ht="51" customHeight="1" x14ac:dyDescent="0.15">
      <c r="A31" s="6">
        <v>28</v>
      </c>
      <c r="B31" s="70" t="s">
        <v>104</v>
      </c>
      <c r="C31" s="70" t="s">
        <v>105</v>
      </c>
      <c r="D31" s="71" t="s">
        <v>100</v>
      </c>
      <c r="E31" s="72">
        <f>19.14*17</f>
        <v>325.38</v>
      </c>
      <c r="F31" s="73">
        <v>50</v>
      </c>
      <c r="G31" s="81">
        <f t="shared" si="1"/>
        <v>16269</v>
      </c>
    </row>
    <row r="32" spans="1:7" ht="51" customHeight="1" x14ac:dyDescent="0.15">
      <c r="A32" s="6">
        <v>29</v>
      </c>
      <c r="B32" s="94" t="s">
        <v>110</v>
      </c>
      <c r="C32" s="94" t="s">
        <v>113</v>
      </c>
      <c r="D32" s="95" t="s">
        <v>112</v>
      </c>
      <c r="E32" s="79">
        <f>4.4*2*8</f>
        <v>70.400000000000006</v>
      </c>
      <c r="F32" s="93">
        <v>150</v>
      </c>
      <c r="G32" s="81">
        <f t="shared" si="1"/>
        <v>10560</v>
      </c>
    </row>
    <row r="33" spans="1:16" ht="51" customHeight="1" x14ac:dyDescent="0.15">
      <c r="A33" s="6">
        <v>30</v>
      </c>
      <c r="B33" s="94" t="s">
        <v>111</v>
      </c>
      <c r="C33" s="94" t="s">
        <v>117</v>
      </c>
      <c r="D33" s="95" t="s">
        <v>112</v>
      </c>
      <c r="E33" s="79">
        <f>4.4*2*8</f>
        <v>70.400000000000006</v>
      </c>
      <c r="F33" s="93">
        <v>780</v>
      </c>
      <c r="G33" s="81">
        <f t="shared" si="1"/>
        <v>54912.000000000007</v>
      </c>
    </row>
    <row r="34" spans="1:16" ht="51" customHeight="1" x14ac:dyDescent="0.15">
      <c r="A34" s="6">
        <v>31</v>
      </c>
      <c r="B34" s="94" t="s">
        <v>114</v>
      </c>
      <c r="C34" s="94" t="s">
        <v>116</v>
      </c>
      <c r="D34" s="95" t="s">
        <v>115</v>
      </c>
      <c r="E34" s="79">
        <f>(1.35*0.4*2+0.4*0.4*2)*17+0.025*3.14*(1.53+14.98)+0.1*3.14*(1.87+15.57)</f>
        <v>30.572195000000001</v>
      </c>
      <c r="F34" s="93">
        <v>50</v>
      </c>
      <c r="G34" s="81">
        <f t="shared" si="1"/>
        <v>1528.6097500000001</v>
      </c>
    </row>
    <row r="35" spans="1:16" ht="21" customHeight="1" x14ac:dyDescent="0.15">
      <c r="A35" s="6">
        <v>32</v>
      </c>
      <c r="B35" s="14" t="s">
        <v>7</v>
      </c>
      <c r="C35" s="14"/>
      <c r="D35" s="15"/>
      <c r="E35" s="16"/>
      <c r="F35" s="17"/>
      <c r="G35" s="17">
        <f>SUM(G4:G34)</f>
        <v>787998.23654999991</v>
      </c>
      <c r="I35" s="9" t="s">
        <v>20</v>
      </c>
      <c r="J35" s="97" t="s">
        <v>22</v>
      </c>
      <c r="K35" s="97"/>
      <c r="L35" s="11" t="s">
        <v>19</v>
      </c>
      <c r="M35" s="12">
        <v>2.76</v>
      </c>
      <c r="N35" s="96">
        <v>1130.3699999999999</v>
      </c>
      <c r="O35" s="96"/>
      <c r="P35" s="12">
        <v>3119.82</v>
      </c>
    </row>
    <row r="36" spans="1:16" ht="21" customHeight="1" x14ac:dyDescent="0.15">
      <c r="A36" s="6">
        <v>33</v>
      </c>
      <c r="B36" s="44" t="s">
        <v>8</v>
      </c>
      <c r="C36" s="44"/>
      <c r="D36" s="44"/>
      <c r="E36" s="44"/>
      <c r="F36" s="45">
        <v>0.09</v>
      </c>
      <c r="G36" s="46">
        <f>G35*0.09</f>
        <v>70919.841289499993</v>
      </c>
      <c r="I36" s="7" t="s">
        <v>23</v>
      </c>
      <c r="J36" s="7" t="s">
        <v>24</v>
      </c>
      <c r="K36" s="19" t="s">
        <v>19</v>
      </c>
      <c r="L36" s="98">
        <v>157.584</v>
      </c>
      <c r="M36" s="99"/>
      <c r="N36" s="8">
        <v>679.6</v>
      </c>
    </row>
    <row r="37" spans="1:16" ht="21" customHeight="1" x14ac:dyDescent="0.15">
      <c r="A37" s="6">
        <v>34</v>
      </c>
      <c r="B37" s="48" t="s">
        <v>9</v>
      </c>
      <c r="C37" s="48"/>
      <c r="D37" s="48"/>
      <c r="E37" s="48"/>
      <c r="F37" s="48"/>
      <c r="G37" s="2">
        <f>G35+G36</f>
        <v>858918.07783949992</v>
      </c>
      <c r="H37" s="3" t="s">
        <v>10</v>
      </c>
      <c r="I37" s="7" t="s">
        <v>23</v>
      </c>
      <c r="J37" s="7" t="s">
        <v>25</v>
      </c>
      <c r="K37" s="19" t="s">
        <v>19</v>
      </c>
      <c r="L37" s="98">
        <v>6.9580000000000002</v>
      </c>
      <c r="M37" s="99"/>
      <c r="N37" s="8">
        <v>702.28</v>
      </c>
    </row>
    <row r="38" spans="1:16" ht="21" customHeight="1" x14ac:dyDescent="0.15">
      <c r="A38" s="3"/>
    </row>
    <row r="39" spans="1:16" ht="21" customHeight="1" x14ac:dyDescent="0.15">
      <c r="L39" t="s">
        <v>32</v>
      </c>
    </row>
    <row r="40" spans="1:16" ht="21" customHeight="1" x14ac:dyDescent="0.15">
      <c r="I40" s="22" t="s">
        <v>26</v>
      </c>
      <c r="J40" t="s">
        <v>27</v>
      </c>
      <c r="K40">
        <f>(23.4*2.65+2.18*0.4)*14</f>
        <v>880.34799999999984</v>
      </c>
      <c r="L40">
        <f>(1.3*2.4+1.8*2.65+0.8*2.4+2.18*1.65)*14</f>
        <v>187.69799999999998</v>
      </c>
      <c r="M40">
        <f>K40-L40</f>
        <v>692.64999999999986</v>
      </c>
    </row>
    <row r="41" spans="1:16" ht="21" customHeight="1" x14ac:dyDescent="0.15">
      <c r="I41" s="22" t="s">
        <v>28</v>
      </c>
      <c r="J41" t="s">
        <v>29</v>
      </c>
      <c r="K41">
        <f>(24.745*2.65+2.6*0.4)*2</f>
        <v>133.22850000000003</v>
      </c>
      <c r="L41" s="23">
        <f>(1.3*2.4+1.98*2.65+0.8*2.4+2.2*1.65)*2</f>
        <v>27.834000000000003</v>
      </c>
      <c r="M41">
        <f t="shared" ref="M41:M43" si="2">K41-L41</f>
        <v>105.39450000000002</v>
      </c>
    </row>
    <row r="42" spans="1:16" ht="21" customHeight="1" x14ac:dyDescent="0.15">
      <c r="I42" s="22" t="s">
        <v>30</v>
      </c>
      <c r="J42" t="s">
        <v>31</v>
      </c>
      <c r="K42">
        <f>23*2.65+2.04*0.4</f>
        <v>61.765999999999998</v>
      </c>
      <c r="L42">
        <f>1.3*2.4+2.04*1.65+0.8*2.4+1.26*2.65</f>
        <v>11.744999999999999</v>
      </c>
      <c r="M42">
        <f t="shared" si="2"/>
        <v>50.021000000000001</v>
      </c>
    </row>
    <row r="43" spans="1:16" ht="21" customHeight="1" x14ac:dyDescent="0.15">
      <c r="I43" s="22" t="s">
        <v>33</v>
      </c>
      <c r="J43" s="23" t="s">
        <v>34</v>
      </c>
      <c r="K43">
        <f>152*2.65</f>
        <v>402.8</v>
      </c>
      <c r="L43">
        <f>1.3*2.4*17+2.8*1.65*2+1.2*2.4*2+0.8*2.4+1*2.4+7.2*2.65+1*2.4+1.3*2.4+0.9*2.4+2.8*2.4+1.3*2.4+1.5*2.4+1.2*2.4+0.8*2.4+1.5*2.4+1.8*2.65+0.8*2.4+1.6*2.4</f>
        <v>131.49</v>
      </c>
      <c r="M43">
        <f t="shared" si="2"/>
        <v>271.31</v>
      </c>
    </row>
    <row r="44" spans="1:16" ht="21" customHeight="1" x14ac:dyDescent="0.15">
      <c r="M44">
        <f>SUM(M40:M43)</f>
        <v>1119.3754999999999</v>
      </c>
    </row>
    <row r="45" spans="1:16" x14ac:dyDescent="0.15">
      <c r="A45" s="104" t="s">
        <v>36</v>
      </c>
      <c r="B45" s="104"/>
      <c r="C45" s="26">
        <f>9.8*2.65</f>
        <v>25.970000000000002</v>
      </c>
      <c r="D45" s="26">
        <f t="shared" ref="D45:D47" si="3">0.8*2.4</f>
        <v>1.92</v>
      </c>
      <c r="E45" s="26">
        <f t="shared" ref="E45:E59" si="4">C45-D45</f>
        <v>24.050000000000004</v>
      </c>
      <c r="F45" s="25" t="s">
        <v>37</v>
      </c>
    </row>
    <row r="46" spans="1:16" x14ac:dyDescent="0.15">
      <c r="A46" s="104" t="s">
        <v>38</v>
      </c>
      <c r="B46" s="104"/>
      <c r="C46" s="26">
        <f>10.2*2.65</f>
        <v>27.029999999999998</v>
      </c>
      <c r="D46" s="26">
        <f t="shared" si="3"/>
        <v>1.92</v>
      </c>
      <c r="E46" s="26">
        <f t="shared" si="4"/>
        <v>25.11</v>
      </c>
      <c r="F46" s="25" t="s">
        <v>37</v>
      </c>
    </row>
    <row r="47" spans="1:16" x14ac:dyDescent="0.15">
      <c r="A47" s="104" t="s">
        <v>39</v>
      </c>
      <c r="B47" s="104"/>
      <c r="C47" s="26">
        <f>10.2*2.65</f>
        <v>27.029999999999998</v>
      </c>
      <c r="D47" s="26">
        <f t="shared" si="3"/>
        <v>1.92</v>
      </c>
      <c r="E47" s="26">
        <f t="shared" si="4"/>
        <v>25.11</v>
      </c>
      <c r="F47" s="25" t="s">
        <v>37</v>
      </c>
    </row>
    <row r="48" spans="1:16" x14ac:dyDescent="0.15">
      <c r="A48" s="104" t="s">
        <v>40</v>
      </c>
      <c r="B48" s="104"/>
      <c r="C48" s="26">
        <f>11*2.65</f>
        <v>29.15</v>
      </c>
      <c r="D48" s="26">
        <f>1.1*2.4</f>
        <v>2.64</v>
      </c>
      <c r="E48" s="26">
        <f t="shared" si="4"/>
        <v>26.509999999999998</v>
      </c>
      <c r="F48" s="25" t="s">
        <v>37</v>
      </c>
    </row>
    <row r="49" spans="1:6" x14ac:dyDescent="0.15">
      <c r="A49" s="104" t="s">
        <v>41</v>
      </c>
      <c r="B49" s="104"/>
      <c r="C49" s="26">
        <f>12*2.65</f>
        <v>31.799999999999997</v>
      </c>
      <c r="D49" s="26">
        <f>1.3*2.4+0.8*2.4</f>
        <v>5.04</v>
      </c>
      <c r="E49" s="26">
        <f t="shared" si="4"/>
        <v>26.759999999999998</v>
      </c>
      <c r="F49" s="25" t="s">
        <v>37</v>
      </c>
    </row>
    <row r="50" spans="1:6" x14ac:dyDescent="0.15">
      <c r="A50" s="104" t="s">
        <v>42</v>
      </c>
      <c r="B50" s="104"/>
      <c r="C50" s="26">
        <f>9*2.65</f>
        <v>23.849999999999998</v>
      </c>
      <c r="D50" s="26">
        <f>0.9*2.4+0.8*2.4</f>
        <v>4.08</v>
      </c>
      <c r="E50" s="26">
        <f t="shared" si="4"/>
        <v>19.769999999999996</v>
      </c>
      <c r="F50" s="25" t="s">
        <v>37</v>
      </c>
    </row>
    <row r="51" spans="1:6" x14ac:dyDescent="0.15">
      <c r="A51" s="104" t="s">
        <v>43</v>
      </c>
      <c r="B51" s="104"/>
      <c r="C51" s="26">
        <f>14.6*2.65</f>
        <v>38.69</v>
      </c>
      <c r="D51" s="26">
        <f>1.3*2.4</f>
        <v>3.12</v>
      </c>
      <c r="E51" s="26">
        <f t="shared" si="4"/>
        <v>35.57</v>
      </c>
      <c r="F51" s="25" t="s">
        <v>37</v>
      </c>
    </row>
    <row r="52" spans="1:6" x14ac:dyDescent="0.15">
      <c r="A52" s="104" t="s">
        <v>44</v>
      </c>
      <c r="B52" s="104"/>
      <c r="C52" s="26">
        <f>14*2.65</f>
        <v>37.1</v>
      </c>
      <c r="D52" s="26">
        <f>0.8*2.4*2+0.8*5.2</f>
        <v>8</v>
      </c>
      <c r="E52" s="26">
        <f t="shared" si="4"/>
        <v>29.1</v>
      </c>
      <c r="F52" s="25" t="s">
        <v>37</v>
      </c>
    </row>
    <row r="53" spans="1:6" x14ac:dyDescent="0.15">
      <c r="A53" s="104" t="s">
        <v>45</v>
      </c>
      <c r="B53" s="104"/>
      <c r="C53" s="26">
        <f>12.8*2.65</f>
        <v>33.92</v>
      </c>
      <c r="D53" s="26">
        <f>1*2.4+2.6*0.8</f>
        <v>4.4800000000000004</v>
      </c>
      <c r="E53" s="26">
        <f t="shared" si="4"/>
        <v>29.44</v>
      </c>
      <c r="F53" s="25" t="s">
        <v>37</v>
      </c>
    </row>
    <row r="54" spans="1:6" x14ac:dyDescent="0.15">
      <c r="A54" s="104" t="s">
        <v>46</v>
      </c>
      <c r="B54" s="104"/>
      <c r="C54" s="26">
        <f>13.2*2.65</f>
        <v>34.979999999999997</v>
      </c>
      <c r="D54" s="26">
        <f>1*2.4+2.6*0.8</f>
        <v>4.4800000000000004</v>
      </c>
      <c r="E54" s="26">
        <f t="shared" si="4"/>
        <v>30.499999999999996</v>
      </c>
      <c r="F54" s="25" t="s">
        <v>37</v>
      </c>
    </row>
    <row r="55" spans="1:6" x14ac:dyDescent="0.15">
      <c r="A55" s="104" t="s">
        <v>47</v>
      </c>
      <c r="B55" s="104"/>
      <c r="C55" s="26">
        <f>16*2.65</f>
        <v>42.4</v>
      </c>
      <c r="D55" s="26">
        <f>1*2.4+2.6*0.8+1*0.8</f>
        <v>5.28</v>
      </c>
      <c r="E55" s="26">
        <f t="shared" si="4"/>
        <v>37.119999999999997</v>
      </c>
      <c r="F55" s="25" t="s">
        <v>37</v>
      </c>
    </row>
    <row r="56" spans="1:6" x14ac:dyDescent="0.15">
      <c r="A56" s="104" t="s">
        <v>48</v>
      </c>
      <c r="B56" s="104"/>
      <c r="C56" s="26">
        <f>12.8*2.65</f>
        <v>33.92</v>
      </c>
      <c r="D56" s="26">
        <f>2.4*0.8+1.6*0.8+1*2.4</f>
        <v>5.6</v>
      </c>
      <c r="E56" s="26">
        <f t="shared" si="4"/>
        <v>28.32</v>
      </c>
      <c r="F56" s="25" t="s">
        <v>37</v>
      </c>
    </row>
    <row r="57" spans="1:6" x14ac:dyDescent="0.15">
      <c r="A57" s="104" t="s">
        <v>49</v>
      </c>
      <c r="B57" s="104"/>
      <c r="C57" s="26">
        <f>12.8*2.65</f>
        <v>33.92</v>
      </c>
      <c r="D57" s="26">
        <f>2.4*0.8+1*2.4</f>
        <v>4.32</v>
      </c>
      <c r="E57" s="26">
        <f t="shared" si="4"/>
        <v>29.6</v>
      </c>
      <c r="F57" s="25" t="s">
        <v>37</v>
      </c>
    </row>
    <row r="58" spans="1:6" x14ac:dyDescent="0.15">
      <c r="A58" s="104" t="s">
        <v>50</v>
      </c>
      <c r="B58" s="104"/>
      <c r="C58" s="26">
        <f>23*2.65</f>
        <v>60.949999999999996</v>
      </c>
      <c r="D58" s="26">
        <f>5.2*0.8+1*2.4</f>
        <v>6.5600000000000005</v>
      </c>
      <c r="E58" s="26">
        <f t="shared" si="4"/>
        <v>54.389999999999993</v>
      </c>
      <c r="F58" s="25" t="s">
        <v>37</v>
      </c>
    </row>
    <row r="59" spans="1:6" x14ac:dyDescent="0.15">
      <c r="A59" s="104" t="s">
        <v>51</v>
      </c>
      <c r="B59" s="104"/>
      <c r="C59" s="26">
        <f>88.4*2.65</f>
        <v>234.26000000000002</v>
      </c>
      <c r="D59" s="26">
        <f>17*1*2.4+7.2*2.65+5.255*0.8+6.822*0.8+1.5*2.4+1.2*2.4</f>
        <v>76.021599999999978</v>
      </c>
      <c r="E59" s="26">
        <f t="shared" si="4"/>
        <v>158.23840000000004</v>
      </c>
      <c r="F59" s="25" t="s">
        <v>37</v>
      </c>
    </row>
    <row r="60" spans="1:6" x14ac:dyDescent="0.15">
      <c r="A60" s="105" t="s">
        <v>63</v>
      </c>
      <c r="B60" s="106"/>
      <c r="C60" s="25"/>
      <c r="D60" s="26">
        <f>SUM(E45:E59)</f>
        <v>579.58839999999998</v>
      </c>
      <c r="E60" s="25"/>
      <c r="F60" s="25"/>
    </row>
  </sheetData>
  <mergeCells count="24">
    <mergeCell ref="A51:B51"/>
    <mergeCell ref="A52:B52"/>
    <mergeCell ref="A53:B53"/>
    <mergeCell ref="A59:B59"/>
    <mergeCell ref="A60:B60"/>
    <mergeCell ref="A54:B54"/>
    <mergeCell ref="A55:B55"/>
    <mergeCell ref="A56:B56"/>
    <mergeCell ref="A57:B57"/>
    <mergeCell ref="A58:B58"/>
    <mergeCell ref="A46:B46"/>
    <mergeCell ref="A47:B47"/>
    <mergeCell ref="A48:B48"/>
    <mergeCell ref="A49:B49"/>
    <mergeCell ref="A50:B50"/>
    <mergeCell ref="A1:G1"/>
    <mergeCell ref="A2:G2"/>
    <mergeCell ref="J10:K10"/>
    <mergeCell ref="A45:B45"/>
    <mergeCell ref="N10:O10"/>
    <mergeCell ref="J35:K35"/>
    <mergeCell ref="N35:O35"/>
    <mergeCell ref="L36:M36"/>
    <mergeCell ref="L37:M37"/>
  </mergeCells>
  <phoneticPr fontId="3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吴艺雪</dc:creator>
  <cp:lastModifiedBy>xb21cn</cp:lastModifiedBy>
  <cp:lastPrinted>2025-05-08T01:23:03Z</cp:lastPrinted>
  <dcterms:created xsi:type="dcterms:W3CDTF">2023-09-13T10:01:00Z</dcterms:created>
  <dcterms:modified xsi:type="dcterms:W3CDTF">2025-05-16T09:31:52Z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